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Users/meganlipscombe/Documents/Rotaready/Content/Rota templates/"/>
    </mc:Choice>
  </mc:AlternateContent>
  <xr:revisionPtr revIDLastSave="0" documentId="8_{6E4AB777-E544-4839-A270-B03843533E9B}" xr6:coauthVersionLast="47" xr6:coauthVersionMax="47" xr10:uidLastSave="{00000000-0000-0000-0000-000000000000}"/>
  <bookViews>
    <workbookView xWindow="28800" yWindow="-3140" windowWidth="38400" windowHeight="20000" xr2:uid="{4A797A64-7542-D540-939F-D2E15578CBC2}"/>
  </bookViews>
  <sheets>
    <sheet name="Rota" sheetId="1" r:id="rId1"/>
    <sheet name="SP" sheetId="7" state="hidden" r:id="rId2"/>
    <sheet name="Settings" sheetId="2" r:id="rId3"/>
    <sheet name="Config" sheetId="3" state="hidden" r:id="rId4"/>
  </sheets>
  <definedNames>
    <definedName name="SPDataTimes">OFFSET(SP!$B$4,0,0,MAX(1,48-COUNTIFS(SP!$B$4:$B$51,"")),1)</definedName>
    <definedName name="SPDataValues">OFFSET(SP!$C$4,0,0,MAX(1,48-COUNTIFS(SP!$C$4:$C$51,"")),1)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5" i="1"/>
  <c r="E17" i="1"/>
  <c r="E19" i="1"/>
  <c r="E21" i="1"/>
  <c r="E23" i="1"/>
  <c r="E25" i="1"/>
  <c r="E27" i="1"/>
  <c r="E29" i="1"/>
  <c r="E31" i="1"/>
  <c r="E33" i="1"/>
  <c r="E35" i="1"/>
  <c r="E37" i="1"/>
  <c r="E39" i="1"/>
  <c r="C12" i="1"/>
  <c r="A12" i="1"/>
  <c r="D12" i="1" s="1"/>
  <c r="C14" i="1"/>
  <c r="A14" i="1"/>
  <c r="D14" i="1" s="1"/>
  <c r="C40" i="1"/>
  <c r="A40" i="1"/>
  <c r="D40" i="1" s="1"/>
  <c r="C38" i="1"/>
  <c r="A38" i="1"/>
  <c r="D38" i="1" s="1"/>
  <c r="C36" i="1"/>
  <c r="A36" i="1"/>
  <c r="D36" i="1" s="1"/>
  <c r="C34" i="1"/>
  <c r="A34" i="1"/>
  <c r="D34" i="1" s="1"/>
  <c r="C32" i="1"/>
  <c r="A32" i="1"/>
  <c r="D32" i="1" s="1"/>
  <c r="C30" i="1"/>
  <c r="A30" i="1"/>
  <c r="D30" i="1" s="1"/>
  <c r="C24" i="1"/>
  <c r="A24" i="1"/>
  <c r="D24" i="1" s="1"/>
  <c r="C28" i="1"/>
  <c r="A28" i="1"/>
  <c r="D28" i="1" s="1"/>
  <c r="C26" i="1"/>
  <c r="A26" i="1"/>
  <c r="D26" i="1" s="1"/>
  <c r="C22" i="1"/>
  <c r="A22" i="1"/>
  <c r="D22" i="1" s="1"/>
  <c r="C20" i="1"/>
  <c r="A20" i="1"/>
  <c r="D20" i="1" s="1"/>
  <c r="C18" i="1"/>
  <c r="A18" i="1"/>
  <c r="D18" i="1" s="1"/>
  <c r="A16" i="1"/>
  <c r="D16" i="1" s="1"/>
  <c r="C16" i="1"/>
  <c r="D3" i="3" l="1"/>
  <c r="D4" i="3"/>
  <c r="D5" i="3"/>
  <c r="D6" i="3"/>
  <c r="D7" i="3"/>
  <c r="D8" i="3"/>
  <c r="D9" i="3"/>
  <c r="D10" i="3"/>
  <c r="D11" i="3"/>
  <c r="E7" i="1" l="1"/>
  <c r="J1" i="7" l="1"/>
  <c r="I1" i="7"/>
  <c r="A4" i="7"/>
  <c r="B1" i="7"/>
  <c r="D2" i="3"/>
  <c r="K2" i="3" l="1"/>
  <c r="K3" i="3" s="1"/>
  <c r="K4" i="3" s="1"/>
  <c r="K5" i="3" s="1"/>
  <c r="K6" i="3" s="1"/>
  <c r="K7" i="3" s="1"/>
  <c r="K8" i="3" s="1"/>
  <c r="U13" i="1"/>
  <c r="T21" i="1"/>
  <c r="U21" i="1"/>
  <c r="T23" i="1"/>
  <c r="U23" i="1"/>
  <c r="T25" i="1"/>
  <c r="U25" i="1"/>
  <c r="T27" i="1"/>
  <c r="U27" i="1"/>
  <c r="T29" i="1"/>
  <c r="U29" i="1"/>
  <c r="T31" i="1"/>
  <c r="U31" i="1"/>
  <c r="T33" i="1"/>
  <c r="U33" i="1"/>
  <c r="T35" i="1"/>
  <c r="U35" i="1"/>
  <c r="T37" i="1"/>
  <c r="U37" i="1"/>
  <c r="T39" i="1"/>
  <c r="U39" i="1"/>
  <c r="T13" i="1"/>
  <c r="T15" i="1"/>
  <c r="U15" i="1"/>
  <c r="T17" i="1"/>
  <c r="U17" i="1"/>
  <c r="T19" i="1"/>
  <c r="U19" i="1"/>
  <c r="U11" i="1"/>
  <c r="T11" i="1"/>
  <c r="R5" i="1" l="1"/>
  <c r="P5" i="1"/>
  <c r="N5" i="1"/>
  <c r="L5" i="1"/>
  <c r="J5" i="1"/>
  <c r="H5" i="1"/>
  <c r="F5" i="1"/>
  <c r="C1" i="7" s="1"/>
  <c r="V17" i="1" l="1"/>
  <c r="V15" i="1"/>
  <c r="V19" i="1"/>
  <c r="V21" i="1"/>
  <c r="V23" i="1"/>
  <c r="V25" i="1"/>
  <c r="V27" i="1"/>
  <c r="V29" i="1"/>
  <c r="V31" i="1"/>
  <c r="V33" i="1"/>
  <c r="V35" i="1"/>
  <c r="V37" i="1"/>
  <c r="V39" i="1"/>
  <c r="V13" i="1"/>
  <c r="V11" i="1"/>
  <c r="Y11" i="1"/>
  <c r="D1" i="7"/>
  <c r="F1" i="7" s="1"/>
  <c r="E1" i="7"/>
  <c r="G1" i="7" s="1"/>
  <c r="A5" i="7"/>
  <c r="B4" i="7"/>
  <c r="C4" i="7"/>
  <c r="A6" i="7" l="1"/>
  <c r="B5" i="7"/>
  <c r="C5" i="7"/>
  <c r="A7" i="7" l="1"/>
  <c r="B6" i="7"/>
  <c r="H8" i="1"/>
  <c r="J8" i="1"/>
  <c r="L8" i="1"/>
  <c r="N8" i="1"/>
  <c r="P8" i="1"/>
  <c r="R8" i="1"/>
  <c r="F8" i="1"/>
  <c r="F4" i="3"/>
  <c r="G4" i="3"/>
  <c r="H4" i="3"/>
  <c r="I4" i="3"/>
  <c r="F5" i="3"/>
  <c r="G5" i="3"/>
  <c r="H5" i="3"/>
  <c r="I5" i="3"/>
  <c r="F6" i="3"/>
  <c r="G6" i="3"/>
  <c r="H6" i="3"/>
  <c r="I6" i="3"/>
  <c r="F7" i="3"/>
  <c r="G7" i="3"/>
  <c r="H7" i="3"/>
  <c r="I7" i="3"/>
  <c r="F8" i="3"/>
  <c r="G8" i="3"/>
  <c r="H8" i="3"/>
  <c r="I8" i="3"/>
  <c r="F9" i="3"/>
  <c r="G9" i="3"/>
  <c r="H9" i="3"/>
  <c r="I9" i="3"/>
  <c r="F10" i="3"/>
  <c r="G10" i="3"/>
  <c r="H10" i="3"/>
  <c r="I10" i="3"/>
  <c r="F11" i="3"/>
  <c r="G11" i="3"/>
  <c r="H11" i="3"/>
  <c r="I11" i="3"/>
  <c r="F12" i="3"/>
  <c r="G12" i="3"/>
  <c r="H12" i="3"/>
  <c r="I12" i="3"/>
  <c r="F13" i="3"/>
  <c r="G13" i="3"/>
  <c r="H13" i="3"/>
  <c r="I13" i="3"/>
  <c r="F14" i="3"/>
  <c r="G14" i="3"/>
  <c r="H14" i="3"/>
  <c r="I14" i="3"/>
  <c r="F15" i="3"/>
  <c r="G15" i="3"/>
  <c r="H15" i="3"/>
  <c r="I15" i="3"/>
  <c r="F16" i="3"/>
  <c r="G16" i="3"/>
  <c r="H16" i="3"/>
  <c r="I16" i="3"/>
  <c r="F17" i="3"/>
  <c r="G17" i="3"/>
  <c r="H17" i="3"/>
  <c r="I17" i="3"/>
  <c r="G3" i="3"/>
  <c r="H3" i="3"/>
  <c r="I3" i="3"/>
  <c r="F3" i="3"/>
  <c r="C6" i="7"/>
  <c r="R9" i="1" l="1"/>
  <c r="J9" i="1"/>
  <c r="E8" i="1"/>
  <c r="B7" i="7"/>
  <c r="A8" i="7"/>
  <c r="L9" i="1"/>
  <c r="N9" i="1"/>
  <c r="P9" i="1"/>
  <c r="H9" i="1"/>
  <c r="F9" i="1"/>
  <c r="C7" i="7"/>
  <c r="B8" i="7" l="1"/>
  <c r="A9" i="7"/>
  <c r="F10" i="1"/>
  <c r="R10" i="1"/>
  <c r="P10" i="1"/>
  <c r="N10" i="1"/>
  <c r="L10" i="1"/>
  <c r="J10" i="1"/>
  <c r="H10" i="1"/>
  <c r="E9" i="1"/>
  <c r="E10" i="1" s="1"/>
  <c r="C8" i="7"/>
  <c r="A10" i="7" l="1"/>
  <c r="B9" i="7"/>
  <c r="D10" i="1"/>
  <c r="C9" i="7"/>
  <c r="B10" i="7" l="1"/>
  <c r="A11" i="7"/>
  <c r="X31" i="1"/>
  <c r="W31" i="1"/>
  <c r="X35" i="1"/>
  <c r="W35" i="1"/>
  <c r="X13" i="1"/>
  <c r="W13" i="1"/>
  <c r="X17" i="1"/>
  <c r="W17" i="1"/>
  <c r="X21" i="1"/>
  <c r="W21" i="1"/>
  <c r="X25" i="1"/>
  <c r="W25" i="1"/>
  <c r="X29" i="1"/>
  <c r="W29" i="1"/>
  <c r="X33" i="1"/>
  <c r="W33" i="1"/>
  <c r="X37" i="1"/>
  <c r="W37" i="1"/>
  <c r="W15" i="1"/>
  <c r="X15" i="1"/>
  <c r="X19" i="1"/>
  <c r="W19" i="1"/>
  <c r="X23" i="1"/>
  <c r="W23" i="1"/>
  <c r="X27" i="1"/>
  <c r="W27" i="1"/>
  <c r="X39" i="1"/>
  <c r="W39" i="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E11" i="1"/>
  <c r="C10" i="7"/>
  <c r="B11" i="7" l="1"/>
  <c r="A12" i="7"/>
  <c r="W11" i="1"/>
  <c r="X11" i="1"/>
  <c r="H6" i="1"/>
  <c r="J6" i="1"/>
  <c r="L6" i="1"/>
  <c r="N6" i="1"/>
  <c r="P6" i="1"/>
  <c r="R6" i="1"/>
  <c r="F6" i="1"/>
  <c r="C11" i="7"/>
  <c r="B12" i="7" l="1"/>
  <c r="A13" i="7"/>
  <c r="C12" i="7"/>
  <c r="A14" i="7" l="1"/>
  <c r="B13" i="7"/>
  <c r="C13" i="7"/>
  <c r="A15" i="7" l="1"/>
  <c r="B14" i="7"/>
  <c r="C14" i="7"/>
  <c r="B15" i="7" l="1"/>
  <c r="A16" i="7"/>
  <c r="C15" i="7"/>
  <c r="B16" i="7" l="1"/>
  <c r="A17" i="7"/>
  <c r="C16" i="7"/>
  <c r="A18" i="7" l="1"/>
  <c r="B17" i="7"/>
  <c r="C17" i="7"/>
  <c r="A19" i="7" l="1"/>
  <c r="B18" i="7"/>
  <c r="C18" i="7"/>
  <c r="B19" i="7" l="1"/>
  <c r="A20" i="7"/>
  <c r="C19" i="7"/>
  <c r="B20" i="7" l="1"/>
  <c r="A21" i="7"/>
  <c r="C20" i="7"/>
  <c r="A22" i="7" l="1"/>
  <c r="B21" i="7"/>
  <c r="C21" i="7"/>
  <c r="A23" i="7" l="1"/>
  <c r="B22" i="7"/>
  <c r="C22" i="7"/>
  <c r="B23" i="7" l="1"/>
  <c r="A24" i="7"/>
  <c r="C23" i="7"/>
  <c r="A25" i="7" l="1"/>
  <c r="B24" i="7"/>
  <c r="C24" i="7"/>
  <c r="A26" i="7" l="1"/>
  <c r="B25" i="7"/>
  <c r="C25" i="7"/>
  <c r="A27" i="7" l="1"/>
  <c r="B26" i="7"/>
  <c r="C26" i="7"/>
  <c r="B27" i="7" l="1"/>
  <c r="A28" i="7"/>
  <c r="C27" i="7"/>
  <c r="B28" i="7" l="1"/>
  <c r="A29" i="7"/>
  <c r="C28" i="7"/>
  <c r="A30" i="7" l="1"/>
  <c r="B29" i="7"/>
  <c r="C29" i="7"/>
  <c r="B30" i="7" l="1"/>
  <c r="A31" i="7"/>
  <c r="C30" i="7"/>
  <c r="B31" i="7" l="1"/>
  <c r="A32" i="7"/>
  <c r="C31" i="7"/>
  <c r="A33" i="7" l="1"/>
  <c r="B32" i="7"/>
  <c r="C32" i="7"/>
  <c r="A34" i="7" l="1"/>
  <c r="B33" i="7"/>
  <c r="C33" i="7"/>
  <c r="A35" i="7" l="1"/>
  <c r="B34" i="7"/>
  <c r="C34" i="7" s="1"/>
  <c r="B35" i="7" l="1"/>
  <c r="C35" i="7" s="1"/>
  <c r="A36" i="7"/>
  <c r="B36" i="7" l="1"/>
  <c r="C36" i="7" s="1"/>
  <c r="A37" i="7"/>
  <c r="A38" i="7" l="1"/>
  <c r="B37" i="7"/>
  <c r="C37" i="7" s="1"/>
  <c r="A39" i="7" l="1"/>
  <c r="B38" i="7"/>
  <c r="C38" i="7" s="1"/>
  <c r="B39" i="7" l="1"/>
  <c r="C39" i="7" s="1"/>
  <c r="A40" i="7"/>
  <c r="A41" i="7" l="1"/>
  <c r="B40" i="7"/>
  <c r="C40" i="7" s="1"/>
  <c r="A42" i="7" l="1"/>
  <c r="B41" i="7"/>
  <c r="C41" i="7" s="1"/>
  <c r="A43" i="7" l="1"/>
  <c r="B42" i="7"/>
  <c r="C42" i="7" s="1"/>
  <c r="B43" i="7" l="1"/>
  <c r="C43" i="7" s="1"/>
  <c r="A44" i="7"/>
  <c r="A45" i="7" l="1"/>
  <c r="B44" i="7"/>
  <c r="C44" i="7" s="1"/>
  <c r="A46" i="7" l="1"/>
  <c r="B45" i="7"/>
  <c r="C45" i="7" s="1"/>
  <c r="B46" i="7" l="1"/>
  <c r="C46" i="7" s="1"/>
  <c r="A47" i="7"/>
  <c r="B47" i="7" l="1"/>
  <c r="C47" i="7" s="1"/>
  <c r="A48" i="7"/>
  <c r="B48" i="7" l="1"/>
  <c r="C48" i="7" s="1"/>
  <c r="A49" i="7"/>
  <c r="A50" i="7" l="1"/>
  <c r="B49" i="7"/>
  <c r="C49" i="7" s="1"/>
  <c r="B50" i="7" l="1"/>
  <c r="C50" i="7" s="1"/>
  <c r="A51" i="7"/>
  <c r="B51" i="7" l="1"/>
  <c r="C51" i="7" s="1"/>
</calcChain>
</file>

<file path=xl/sharedStrings.xml><?xml version="1.0" encoding="utf-8"?>
<sst xmlns="http://schemas.openxmlformats.org/spreadsheetml/2006/main" count="121" uniqueCount="64">
  <si>
    <t>Your company name</t>
  </si>
  <si>
    <t>Start date:</t>
  </si>
  <si>
    <t>View profile for:</t>
  </si>
  <si>
    <t>Shift(s) too long</t>
  </si>
  <si>
    <t>Insufficient days off</t>
  </si>
  <si>
    <t>Insufficient rest</t>
  </si>
  <si>
    <t>Contracted hours not met</t>
  </si>
  <si>
    <t>Contracted hours exceeded</t>
  </si>
  <si>
    <t>Budget</t>
  </si>
  <si>
    <t>Forecast</t>
  </si>
  <si>
    <t>Sales forecast</t>
  </si>
  <si>
    <t>Hours</t>
  </si>
  <si>
    <t>Wages</t>
  </si>
  <si>
    <t>Wage %</t>
  </si>
  <si>
    <t>John Smith</t>
  </si>
  <si>
    <t>Bar Manager</t>
  </si>
  <si>
    <t>Bar Staff</t>
  </si>
  <si>
    <t>Setting up your Rotaready schedule</t>
  </si>
  <si>
    <t>/</t>
  </si>
  <si>
    <t>Joe Bloggs</t>
  </si>
  <si>
    <t>Kitchen Manager</t>
  </si>
  <si>
    <t>Kitchen Porter</t>
  </si>
  <si>
    <r>
      <t xml:space="preserve">
</t>
    </r>
    <r>
      <rPr>
        <b/>
        <sz val="11"/>
        <color rgb="FF031C5A"/>
        <rFont val="URW Geometric"/>
        <family val="3"/>
      </rPr>
      <t xml:space="preserve">1. Define your settings &amp; staff
</t>
    </r>
    <r>
      <rPr>
        <sz val="11"/>
        <color theme="1"/>
        <rFont val="URW Geometric"/>
        <family val="3"/>
      </rPr>
      <t xml:space="preserve">
- Go to the 'settings' tab
- Define your staff groups in column A (</t>
    </r>
    <r>
      <rPr>
        <i/>
        <sz val="11"/>
        <color theme="1"/>
        <rFont val="URW Geometric"/>
        <family val="3"/>
      </rPr>
      <t xml:space="preserve">e.g. 'BOH', 'FOH')
</t>
    </r>
    <r>
      <rPr>
        <sz val="11"/>
        <color theme="1"/>
        <rFont val="URW Geometric"/>
        <family val="3"/>
      </rPr>
      <t xml:space="preserve">
- Enter your staff details in columns C-F (</t>
    </r>
    <r>
      <rPr>
        <i/>
        <sz val="11"/>
        <color theme="1"/>
        <rFont val="URW Geometric"/>
        <family val="3"/>
      </rPr>
      <t>e.g.</t>
    </r>
    <r>
      <rPr>
        <sz val="11"/>
        <color theme="1"/>
        <rFont val="URW Geometric"/>
        <family val="3"/>
      </rPr>
      <t xml:space="preserve"> n</t>
    </r>
    <r>
      <rPr>
        <i/>
        <sz val="11"/>
        <color theme="1"/>
        <rFont val="URW Geometric"/>
        <family val="3"/>
      </rPr>
      <t xml:space="preserve">ame, staff group, contracted hours, pay)
</t>
    </r>
    <r>
      <rPr>
        <sz val="11"/>
        <color theme="1"/>
        <rFont val="URW Geometric"/>
        <family val="3"/>
      </rPr>
      <t xml:space="preserve">
- Define your shift types</t>
    </r>
    <r>
      <rPr>
        <i/>
        <sz val="11"/>
        <color theme="1"/>
        <rFont val="URW Geometric"/>
        <family val="3"/>
      </rPr>
      <t xml:space="preserve"> in column </t>
    </r>
    <r>
      <rPr>
        <sz val="11"/>
        <color theme="1"/>
        <rFont val="URW Geometric"/>
      </rPr>
      <t>H (</t>
    </r>
    <r>
      <rPr>
        <i/>
        <sz val="11"/>
        <color theme="1"/>
        <rFont val="URW Geometric"/>
        <family val="3"/>
      </rPr>
      <t>e.g. 'head chef', 'kitchen porter')
- Define your opening hours in column K</t>
    </r>
    <r>
      <rPr>
        <sz val="11"/>
        <color theme="1"/>
        <rFont val="URW Geometric"/>
        <family val="3"/>
      </rPr>
      <t xml:space="preserve">
</t>
    </r>
    <r>
      <rPr>
        <b/>
        <sz val="11"/>
        <color rgb="FF031C5A"/>
        <rFont val="URW Geometric"/>
        <family val="3"/>
      </rPr>
      <t>2. Setup your rota:</t>
    </r>
    <r>
      <rPr>
        <sz val="11"/>
        <color theme="1"/>
        <rFont val="URW Geometric"/>
        <family val="3"/>
      </rPr>
      <t xml:space="preserve">
- Go to the 'rota' tab
- Enter your company name in cell A2
- Enter your rota start date in cell D4
- Select your staff (u</t>
    </r>
    <r>
      <rPr>
        <i/>
        <sz val="11"/>
        <color theme="1"/>
        <rFont val="URW Geometric"/>
        <family val="3"/>
      </rPr>
      <t xml:space="preserve">se the dropdown fields to select your staff in column A)
- </t>
    </r>
    <r>
      <rPr>
        <sz val="11"/>
        <color theme="1"/>
        <rFont val="URW Geometric"/>
        <family val="3"/>
      </rPr>
      <t>Enter your weekly budget (</t>
    </r>
    <r>
      <rPr>
        <i/>
        <sz val="11"/>
        <color theme="1"/>
        <rFont val="URW Geometric"/>
        <family val="3"/>
      </rPr>
      <t>sales, hours and/or wages in cells D7 - D9 (your wage % will automatically calculate)</t>
    </r>
    <r>
      <rPr>
        <sz val="11"/>
        <color theme="1"/>
        <rFont val="URW Geometric"/>
        <family val="3"/>
      </rPr>
      <t xml:space="preserve">
</t>
    </r>
    <r>
      <rPr>
        <sz val="11"/>
        <color rgb="FF031C5A"/>
        <rFont val="URW Geometric"/>
        <family val="3"/>
      </rPr>
      <t xml:space="preserve">
</t>
    </r>
    <r>
      <rPr>
        <sz val="11"/>
        <color theme="1"/>
        <rFont val="URW Geometric"/>
        <family val="3"/>
      </rPr>
      <t xml:space="preserve">- Enter your daily sales forecast in cells F7 - R7
</t>
    </r>
    <r>
      <rPr>
        <sz val="11"/>
        <color rgb="FF031C5A"/>
        <rFont val="URW Geometric"/>
        <family val="3"/>
      </rPr>
      <t xml:space="preserve">
</t>
    </r>
    <r>
      <rPr>
        <b/>
        <sz val="11"/>
        <color rgb="FF031C5A"/>
        <rFont val="URW Geometric"/>
        <family val="3"/>
      </rPr>
      <t>3. Create your shifts:</t>
    </r>
    <r>
      <rPr>
        <sz val="11"/>
        <color rgb="FF031C5A"/>
        <rFont val="URW Geometric"/>
        <family val="3"/>
      </rPr>
      <t xml:space="preserve">
</t>
    </r>
    <r>
      <rPr>
        <sz val="11"/>
        <color theme="1"/>
        <rFont val="URW Geometric"/>
        <family val="3"/>
      </rPr>
      <t xml:space="preserve">
- Select the shift type or absence type
</t>
    </r>
    <r>
      <rPr>
        <i/>
        <sz val="11"/>
        <color theme="1"/>
        <rFont val="URW Geometric"/>
        <family val="3"/>
      </rPr>
      <t xml:space="preserve">The type of shift the employee will be working that day from  your pre-defined shift types in the settings tab
</t>
    </r>
    <r>
      <rPr>
        <sz val="11"/>
        <color theme="1"/>
        <rFont val="URW Geometric"/>
        <family val="3"/>
      </rPr>
      <t xml:space="preserve">- Select the shift start &amp; end time
Use the drop down fields to select the start &amp; end time of the shift (24 hour timings)
</t>
    </r>
    <r>
      <rPr>
        <b/>
        <i/>
        <sz val="12"/>
        <color rgb="FF1858FB"/>
        <rFont val="URW Geometric"/>
        <family val="3"/>
      </rPr>
      <t>You're ready to go!</t>
    </r>
  </si>
  <si>
    <t>Select colleague</t>
  </si>
  <si>
    <t>Date</t>
  </si>
  <si>
    <t>Basis</t>
  </si>
  <si>
    <t>Time</t>
  </si>
  <si>
    <t>Staff</t>
  </si>
  <si>
    <t>1. Staff groups</t>
  </si>
  <si>
    <t>2. Staff</t>
  </si>
  <si>
    <t>3. Shifts types</t>
  </si>
  <si>
    <t>4. Opening hours</t>
  </si>
  <si>
    <t>Example: 'FOH', 'BOH'</t>
  </si>
  <si>
    <t>Staff group</t>
  </si>
  <si>
    <t>Contracted hours</t>
  </si>
  <si>
    <t>Hourly rate</t>
  </si>
  <si>
    <t>Example: 'bar', 'sous chef', 'cleaning'</t>
  </si>
  <si>
    <t>Open</t>
  </si>
  <si>
    <t>FOH</t>
  </si>
  <si>
    <t>Close</t>
  </si>
  <si>
    <t>BOH</t>
  </si>
  <si>
    <t>Staff group 3</t>
  </si>
  <si>
    <t>Staff group 4</t>
  </si>
  <si>
    <t>Staff group 5</t>
  </si>
  <si>
    <t>Shift type 5</t>
  </si>
  <si>
    <t>Staff group 6</t>
  </si>
  <si>
    <t>Shift type 6</t>
  </si>
  <si>
    <t>Staff group 7</t>
  </si>
  <si>
    <t>Shift type 7</t>
  </si>
  <si>
    <t>Staff group 8</t>
  </si>
  <si>
    <t>Shift type 8</t>
  </si>
  <si>
    <t>Staff group 9</t>
  </si>
  <si>
    <t>Shift type 9</t>
  </si>
  <si>
    <t>Staff group 10</t>
  </si>
  <si>
    <t>Shift type 10</t>
  </si>
  <si>
    <t>24 hour</t>
  </si>
  <si>
    <t>Shift types &amp; absence types</t>
  </si>
  <si>
    <t>Users</t>
  </si>
  <si>
    <t>Payrate</t>
  </si>
  <si>
    <t>Dates</t>
  </si>
  <si>
    <t>Holiday</t>
  </si>
  <si>
    <t>Day off</t>
  </si>
  <si>
    <t>Sick</t>
  </si>
  <si>
    <t>Other leave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</si>
</sst>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hh:mm\ \-"/>
    <numFmt numFmtId="165" formatCode="hh:mm\ \ \-"/>
    <numFmt numFmtId="166" formatCode="&quot;£&quot;#,##0.00"/>
    <numFmt numFmtId="167" formatCode="dd\ mmm\ yyyy"/>
    <numFmt numFmtId="168" formatCode="dd\ mmm"/>
    <numFmt numFmtId="169" formatCode="ddd\ dd\ mmm"/>
    <numFmt numFmtId="170" formatCode="ddd\ d\ mmm"/>
  </numFmts>
  <fonts count="24">
    <font>
      <sz val="12"/>
      <color theme="1"/>
      <name val="Calibri"/>
      <family val="2"/>
      <scheme val="minor"/>
    </font>
    <font>
      <b/>
      <sz val="12"/>
      <color theme="1"/>
      <name val="Calibri"/>
      <family val="2"/>
      <scheme val="minor"/>
    </font>
    <font>
      <sz val="11"/>
      <color theme="1"/>
      <name val="Calibri"/>
      <family val="2"/>
      <scheme val="minor"/>
    </font>
    <font>
      <sz val="14"/>
      <color theme="1"/>
      <name val="URW Geometric"/>
      <family val="3"/>
    </font>
    <font>
      <b/>
      <sz val="14"/>
      <color theme="1"/>
      <name val="URW Geometric Semi Bold"/>
      <family val="3"/>
    </font>
    <font>
      <b/>
      <sz val="26"/>
      <color rgb="FF1858FB"/>
      <name val="URW Geometric Semi Bold"/>
      <family val="3"/>
    </font>
    <font>
      <b/>
      <sz val="12"/>
      <color theme="1"/>
      <name val="URW Geometric"/>
      <family val="3"/>
    </font>
    <font>
      <sz val="10"/>
      <color theme="1"/>
      <name val="URW Geometric"/>
      <family val="3"/>
    </font>
    <font>
      <sz val="11"/>
      <color theme="1"/>
      <name val="URW Geometric"/>
      <family val="3"/>
    </font>
    <font>
      <b/>
      <sz val="11"/>
      <color rgb="FF031C5A"/>
      <name val="URW Geometric"/>
      <family val="3"/>
    </font>
    <font>
      <i/>
      <sz val="11"/>
      <color theme="1"/>
      <name val="URW Geometric"/>
      <family val="3"/>
    </font>
    <font>
      <sz val="11"/>
      <color rgb="FF031C5A"/>
      <name val="URW Geometric"/>
      <family val="3"/>
    </font>
    <font>
      <sz val="12"/>
      <color theme="1"/>
      <name val="URW Geometric"/>
      <family val="3"/>
    </font>
    <font>
      <b/>
      <sz val="12"/>
      <color theme="1"/>
      <name val="URW Geometric Semi Bold"/>
      <family val="3"/>
    </font>
    <font>
      <sz val="12"/>
      <color theme="1"/>
      <name val="URW Geometric Semi Bold"/>
      <family val="3"/>
    </font>
    <font>
      <b/>
      <i/>
      <sz val="12"/>
      <color rgb="FF1858FB"/>
      <name val="URW Geometric"/>
      <family val="3"/>
    </font>
    <font>
      <b/>
      <sz val="14"/>
      <color theme="1"/>
      <name val="URW Geometric"/>
      <family val="3"/>
    </font>
    <font>
      <i/>
      <sz val="12"/>
      <color theme="1"/>
      <name val="URW Geometric"/>
      <family val="3"/>
    </font>
    <font>
      <sz val="12"/>
      <name val="URW Geometric"/>
      <family val="3"/>
    </font>
    <font>
      <b/>
      <i/>
      <sz val="12"/>
      <color theme="1"/>
      <name val="URW Geometric"/>
      <family val="3"/>
    </font>
    <font>
      <sz val="12"/>
      <color rgb="FFFF0000"/>
      <name val="URW Geometric"/>
      <family val="3"/>
    </font>
    <font>
      <b/>
      <sz val="12"/>
      <color theme="0"/>
      <name val="Calibri"/>
      <family val="2"/>
      <scheme val="minor"/>
    </font>
    <font>
      <sz val="11"/>
      <color theme="1"/>
      <name val="URW Geometric"/>
    </font>
    <font>
      <sz val="26"/>
      <color rgb="FFFF0000"/>
      <name val="URW Geometric"/>
    </font>
  </fonts>
  <fills count="10">
    <fill>
      <patternFill patternType="none"/>
    </fill>
    <fill>
      <patternFill patternType="gray125"/>
    </fill>
    <fill>
      <patternFill patternType="solid">
        <fgColor rgb="FFC6D3F4"/>
        <bgColor indexed="64"/>
      </patternFill>
    </fill>
    <fill>
      <patternFill patternType="solid">
        <fgColor rgb="FFE6EDFE"/>
        <bgColor indexed="64"/>
      </patternFill>
    </fill>
    <fill>
      <patternFill patternType="solid">
        <fgColor rgb="FF97B2F5"/>
        <bgColor indexed="64"/>
      </patternFill>
    </fill>
    <fill>
      <patternFill patternType="solid">
        <fgColor rgb="FFF0F0F0"/>
        <bgColor indexed="64"/>
      </patternFill>
    </fill>
    <fill>
      <patternFill patternType="solid">
        <fgColor rgb="FF8CA9F3"/>
        <bgColor indexed="64"/>
      </patternFill>
    </fill>
    <fill>
      <patternFill patternType="solid">
        <fgColor rgb="FFBFCDF2"/>
        <bgColor indexed="64"/>
      </patternFill>
    </fill>
    <fill>
      <patternFill patternType="solid">
        <fgColor theme="4"/>
        <bgColor theme="4"/>
      </patternFill>
    </fill>
    <fill>
      <patternFill patternType="solid">
        <fgColor theme="4" tint="0.79998168889431442"/>
        <bgColor theme="4" tint="0.79998168889431442"/>
      </patternFill>
    </fill>
  </fills>
  <borders count="41">
    <border>
      <left/>
      <right/>
      <top/>
      <bottom/>
      <diagonal/>
    </border>
    <border>
      <left/>
      <right/>
      <top/>
      <bottom style="thick">
        <color theme="0"/>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left>
      <right/>
      <top/>
      <bottom style="thick">
        <color theme="0"/>
      </bottom>
      <diagonal/>
    </border>
    <border>
      <left style="medium">
        <color theme="0"/>
      </left>
      <right/>
      <top style="thick">
        <color theme="0"/>
      </top>
      <bottom/>
      <diagonal/>
    </border>
    <border>
      <left/>
      <right style="medium">
        <color theme="0"/>
      </right>
      <top style="thick">
        <color theme="0"/>
      </top>
      <bottom/>
      <diagonal/>
    </border>
    <border>
      <left/>
      <right style="medium">
        <color theme="0"/>
      </right>
      <top/>
      <bottom style="thick">
        <color theme="0"/>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medium">
        <color theme="0"/>
      </right>
      <top style="thin">
        <color theme="0" tint="-0.14999847407452621"/>
      </top>
      <bottom style="thin">
        <color theme="0" tint="-0.14999847407452621"/>
      </bottom>
      <diagonal/>
    </border>
    <border>
      <left/>
      <right style="medium">
        <color theme="0"/>
      </right>
      <top/>
      <bottom style="thin">
        <color theme="0" tint="-0.14999847407452621"/>
      </bottom>
      <diagonal/>
    </border>
    <border>
      <left/>
      <right style="medium">
        <color theme="0"/>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left>
      <right style="thin">
        <color theme="0"/>
      </right>
      <top/>
      <bottom/>
      <diagonal/>
    </border>
    <border>
      <left style="thin">
        <color theme="0"/>
      </left>
      <right style="thin">
        <color theme="0"/>
      </right>
      <top/>
      <bottom/>
      <diagonal/>
    </border>
    <border>
      <left style="thin">
        <color theme="0" tint="-0.249977111117893"/>
      </left>
      <right/>
      <top/>
      <bottom/>
      <diagonal/>
    </border>
    <border>
      <left style="thin">
        <color theme="0" tint="-0.34998626667073579"/>
      </left>
      <right style="thin">
        <color theme="0" tint="-0.249977111117893"/>
      </right>
      <top/>
      <bottom style="thin">
        <color theme="0" tint="-0.34998626667073579"/>
      </bottom>
      <diagonal/>
    </border>
    <border>
      <left style="thin">
        <color theme="0" tint="-0.34998626667073579"/>
      </left>
      <right style="thin">
        <color theme="0" tint="-0.249977111117893"/>
      </right>
      <top/>
      <bottom/>
      <diagonal/>
    </border>
    <border>
      <left style="thin">
        <color theme="0"/>
      </left>
      <right style="thin">
        <color theme="0"/>
      </right>
      <top style="thick">
        <color theme="0"/>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3">
    <xf numFmtId="0" fontId="0" fillId="0" borderId="0" xfId="0"/>
    <xf numFmtId="0" fontId="1" fillId="0" borderId="0" xfId="0" applyFont="1"/>
    <xf numFmtId="20" fontId="1" fillId="0" borderId="0" xfId="0" applyNumberFormat="1" applyFont="1" applyAlignment="1">
      <alignment horizontal="center"/>
    </xf>
    <xf numFmtId="20" fontId="1" fillId="0" borderId="0" xfId="0" applyNumberFormat="1" applyFont="1"/>
    <xf numFmtId="20" fontId="0" fillId="0" borderId="0" xfId="0" applyNumberFormat="1"/>
    <xf numFmtId="165" fontId="8" fillId="0" borderId="4" xfId="0" applyNumberFormat="1" applyFont="1" applyBorder="1" applyAlignment="1" applyProtection="1">
      <alignment horizontal="right" vertical="center"/>
      <protection locked="0"/>
    </xf>
    <xf numFmtId="20" fontId="8" fillId="0" borderId="3" xfId="0" applyNumberFormat="1" applyFont="1" applyBorder="1" applyAlignment="1" applyProtection="1">
      <alignment horizontal="left" vertical="center"/>
      <protection locked="0"/>
    </xf>
    <xf numFmtId="0" fontId="6" fillId="0" borderId="0" xfId="0" applyFont="1"/>
    <xf numFmtId="0" fontId="12" fillId="0" borderId="0" xfId="0" applyFont="1"/>
    <xf numFmtId="0" fontId="17" fillId="0" borderId="0" xfId="0" applyFont="1"/>
    <xf numFmtId="0" fontId="2" fillId="0" borderId="0" xfId="0" applyFont="1"/>
    <xf numFmtId="0" fontId="8" fillId="0" borderId="0" xfId="0" applyFont="1" applyAlignment="1">
      <alignment horizontal="center" textRotation="90"/>
    </xf>
    <xf numFmtId="0" fontId="21" fillId="8" borderId="27" xfId="0" applyFont="1" applyFill="1" applyBorder="1"/>
    <xf numFmtId="0" fontId="21" fillId="8" borderId="28" xfId="0" applyFont="1" applyFill="1" applyBorder="1"/>
    <xf numFmtId="20" fontId="0" fillId="9" borderId="27" xfId="0" applyNumberFormat="1" applyFill="1" applyBorder="1"/>
    <xf numFmtId="20" fontId="0" fillId="0" borderId="27" xfId="0" applyNumberFormat="1" applyBorder="1"/>
    <xf numFmtId="0" fontId="0" fillId="0" borderId="28" xfId="0" applyBorder="1"/>
    <xf numFmtId="0" fontId="21" fillId="8" borderId="29" xfId="0" applyFont="1" applyFill="1" applyBorder="1"/>
    <xf numFmtId="20" fontId="0" fillId="0" borderId="29" xfId="0" applyNumberFormat="1" applyBorder="1"/>
    <xf numFmtId="168" fontId="0" fillId="0" borderId="0" xfId="0" applyNumberFormat="1"/>
    <xf numFmtId="169" fontId="4" fillId="0" borderId="0" xfId="0" applyNumberFormat="1" applyFont="1" applyProtection="1">
      <protection locked="0"/>
    </xf>
    <xf numFmtId="0" fontId="16" fillId="6" borderId="30" xfId="0" applyFont="1" applyFill="1" applyBorder="1" applyAlignment="1">
      <alignment horizontal="left" vertical="center"/>
    </xf>
    <xf numFmtId="0" fontId="19" fillId="0" borderId="31" xfId="0" applyFont="1" applyBorder="1"/>
    <xf numFmtId="0" fontId="12" fillId="0" borderId="31" xfId="0" applyFont="1" applyBorder="1"/>
    <xf numFmtId="0" fontId="12" fillId="0" borderId="32" xfId="0" applyFont="1" applyBorder="1"/>
    <xf numFmtId="0" fontId="6" fillId="0" borderId="36" xfId="0" applyFont="1" applyBorder="1" applyAlignment="1">
      <alignment wrapText="1"/>
    </xf>
    <xf numFmtId="0" fontId="6" fillId="0" borderId="37" xfId="0" applyFont="1" applyBorder="1"/>
    <xf numFmtId="0" fontId="12" fillId="0" borderId="36" xfId="0" applyFont="1" applyBorder="1"/>
    <xf numFmtId="0" fontId="12" fillId="0" borderId="38" xfId="0" applyFont="1" applyBorder="1"/>
    <xf numFmtId="0" fontId="12" fillId="0" borderId="39" xfId="0" applyFont="1" applyBorder="1"/>
    <xf numFmtId="0" fontId="19" fillId="0" borderId="31" xfId="0" applyFont="1" applyBorder="1" applyAlignment="1">
      <alignment vertical="center"/>
    </xf>
    <xf numFmtId="0" fontId="18" fillId="0" borderId="31" xfId="0" applyFont="1" applyBorder="1"/>
    <xf numFmtId="166" fontId="12" fillId="0" borderId="37" xfId="0" applyNumberFormat="1" applyFont="1" applyBorder="1"/>
    <xf numFmtId="166" fontId="12" fillId="0" borderId="40" xfId="0" applyNumberFormat="1" applyFont="1" applyBorder="1"/>
    <xf numFmtId="0" fontId="8" fillId="0" borderId="0" xfId="0" applyFont="1"/>
    <xf numFmtId="20" fontId="8" fillId="0" borderId="0" xfId="0" applyNumberFormat="1" applyFont="1"/>
    <xf numFmtId="20" fontId="2" fillId="0" borderId="0" xfId="0" applyNumberFormat="1" applyFont="1"/>
    <xf numFmtId="20" fontId="3" fillId="0" borderId="0" xfId="0" applyNumberFormat="1" applyFont="1" applyAlignment="1">
      <alignment horizontal="left"/>
    </xf>
    <xf numFmtId="0" fontId="8" fillId="0" borderId="1" xfId="0" applyFont="1" applyBorder="1"/>
    <xf numFmtId="0" fontId="6" fillId="6" borderId="1" xfId="0" applyFont="1" applyFill="1" applyBorder="1" applyAlignment="1">
      <alignment vertical="center"/>
    </xf>
    <xf numFmtId="0" fontId="6" fillId="6" borderId="10" xfId="0" applyFont="1" applyFill="1" applyBorder="1" applyAlignment="1">
      <alignment vertical="center"/>
    </xf>
    <xf numFmtId="166" fontId="14" fillId="2" borderId="11" xfId="0" applyNumberFormat="1" applyFont="1" applyFill="1" applyBorder="1" applyAlignment="1">
      <alignment horizontal="left"/>
    </xf>
    <xf numFmtId="0" fontId="14" fillId="2" borderId="11" xfId="0" applyFont="1" applyFill="1" applyBorder="1" applyAlignment="1">
      <alignment horizontal="left"/>
    </xf>
    <xf numFmtId="166" fontId="14" fillId="2" borderId="12" xfId="0" applyNumberFormat="1" applyFont="1" applyFill="1" applyBorder="1" applyAlignment="1">
      <alignment horizontal="left"/>
    </xf>
    <xf numFmtId="9" fontId="13" fillId="2" borderId="0" xfId="0" applyNumberFormat="1" applyFont="1" applyFill="1" applyAlignment="1">
      <alignment horizontal="left"/>
    </xf>
    <xf numFmtId="9" fontId="14" fillId="2" borderId="0" xfId="0" applyNumberFormat="1" applyFont="1" applyFill="1" applyAlignment="1">
      <alignment horizontal="left"/>
    </xf>
    <xf numFmtId="0" fontId="20" fillId="0" borderId="23" xfId="0" applyFont="1" applyBorder="1" applyAlignment="1">
      <alignment horizontal="center" vertical="center" wrapText="1"/>
    </xf>
    <xf numFmtId="0" fontId="7" fillId="5" borderId="4" xfId="0" applyFont="1" applyFill="1" applyBorder="1" applyAlignment="1">
      <alignment horizontal="right" vertical="center"/>
    </xf>
    <xf numFmtId="0" fontId="7" fillId="5" borderId="4" xfId="0" applyFont="1" applyFill="1" applyBorder="1" applyAlignment="1">
      <alignment horizontal="left" vertical="center"/>
    </xf>
    <xf numFmtId="166" fontId="7" fillId="5" borderId="4" xfId="0" applyNumberFormat="1" applyFont="1" applyFill="1" applyBorder="1" applyAlignment="1">
      <alignment horizontal="left" vertical="center"/>
    </xf>
    <xf numFmtId="0" fontId="20" fillId="0" borderId="0" xfId="0" applyFont="1" applyAlignment="1">
      <alignment horizontal="center" vertical="center" wrapText="1"/>
    </xf>
    <xf numFmtId="164" fontId="2" fillId="0" borderId="0" xfId="0" applyNumberFormat="1" applyFont="1"/>
    <xf numFmtId="20" fontId="12" fillId="0" borderId="37" xfId="0" applyNumberFormat="1" applyFont="1" applyBorder="1"/>
    <xf numFmtId="20" fontId="12" fillId="0" borderId="40" xfId="0" applyNumberFormat="1" applyFont="1" applyBorder="1"/>
    <xf numFmtId="166" fontId="13" fillId="2" borderId="11" xfId="0" applyNumberFormat="1" applyFont="1" applyFill="1" applyBorder="1" applyAlignment="1" applyProtection="1">
      <alignment horizontal="left"/>
      <protection locked="0"/>
    </xf>
    <xf numFmtId="0" fontId="13" fillId="2" borderId="11" xfId="0" applyFont="1" applyFill="1" applyBorder="1" applyAlignment="1" applyProtection="1">
      <alignment horizontal="left"/>
      <protection locked="0"/>
    </xf>
    <xf numFmtId="166" fontId="13" fillId="2" borderId="12" xfId="0" applyNumberFormat="1" applyFont="1" applyFill="1" applyBorder="1" applyAlignment="1" applyProtection="1">
      <alignment horizontal="left"/>
      <protection locked="0"/>
    </xf>
    <xf numFmtId="0" fontId="5" fillId="0" borderId="0" xfId="0" applyFont="1" applyAlignment="1" applyProtection="1">
      <alignment vertical="top"/>
      <protection locked="0"/>
    </xf>
    <xf numFmtId="0" fontId="2" fillId="0" borderId="1" xfId="0" applyFont="1" applyBorder="1"/>
    <xf numFmtId="166" fontId="12" fillId="3" borderId="12" xfId="0" applyNumberFormat="1" applyFont="1" applyFill="1" applyBorder="1" applyAlignment="1">
      <alignment horizontal="center"/>
    </xf>
    <xf numFmtId="166" fontId="12" fillId="3" borderId="16" xfId="0" applyNumberFormat="1" applyFont="1" applyFill="1" applyBorder="1" applyAlignment="1">
      <alignment horizontal="center"/>
    </xf>
    <xf numFmtId="0" fontId="5" fillId="0" borderId="0" xfId="0" applyFont="1" applyAlignment="1" applyProtection="1">
      <alignment horizontal="left" vertical="center"/>
      <protection locked="0"/>
    </xf>
    <xf numFmtId="0" fontId="3" fillId="5" borderId="5" xfId="0" applyFont="1" applyFill="1" applyBorder="1" applyAlignment="1" applyProtection="1">
      <alignment horizontal="left" vertical="center"/>
      <protection locked="0"/>
    </xf>
    <xf numFmtId="0" fontId="8" fillId="5" borderId="0" xfId="0" applyFont="1" applyFill="1" applyAlignment="1">
      <alignment horizontal="left" vertical="top" wrapText="1"/>
    </xf>
    <xf numFmtId="0" fontId="6" fillId="4" borderId="0" xfId="0" applyFont="1" applyFill="1" applyAlignment="1">
      <alignment horizontal="center" vertical="center"/>
    </xf>
    <xf numFmtId="0" fontId="12" fillId="3" borderId="11" xfId="0" applyFont="1" applyFill="1" applyBorder="1" applyAlignment="1">
      <alignment horizontal="center"/>
    </xf>
    <xf numFmtId="166" fontId="12" fillId="3" borderId="12" xfId="0" applyNumberFormat="1" applyFont="1" applyFill="1" applyBorder="1" applyAlignment="1" applyProtection="1">
      <alignment horizontal="center"/>
      <protection locked="0"/>
    </xf>
    <xf numFmtId="9" fontId="12" fillId="3" borderId="0" xfId="0" applyNumberFormat="1" applyFont="1" applyFill="1" applyAlignment="1">
      <alignment horizontal="center"/>
    </xf>
    <xf numFmtId="0" fontId="12" fillId="3" borderId="17" xfId="0" applyFont="1" applyFill="1" applyBorder="1" applyAlignment="1">
      <alignment horizontal="center"/>
    </xf>
    <xf numFmtId="166" fontId="12" fillId="3" borderId="16" xfId="0" applyNumberFormat="1" applyFont="1" applyFill="1" applyBorder="1" applyAlignment="1" applyProtection="1">
      <alignment horizontal="center"/>
      <protection locked="0"/>
    </xf>
    <xf numFmtId="20" fontId="8" fillId="0" borderId="15" xfId="0" applyNumberFormat="1" applyFont="1" applyBorder="1" applyAlignment="1" applyProtection="1">
      <alignment horizontal="center" vertical="center"/>
      <protection locked="0"/>
    </xf>
    <xf numFmtId="20" fontId="8" fillId="0" borderId="6" xfId="0" applyNumberFormat="1" applyFont="1" applyBorder="1" applyAlignment="1" applyProtection="1">
      <alignment horizontal="center" vertical="center"/>
      <protection locked="0"/>
    </xf>
    <xf numFmtId="0" fontId="7" fillId="5" borderId="5" xfId="0" applyFont="1" applyFill="1" applyBorder="1" applyAlignment="1">
      <alignment horizontal="left"/>
    </xf>
    <xf numFmtId="0" fontId="7" fillId="5" borderId="4" xfId="0" applyFont="1" applyFill="1" applyBorder="1" applyAlignment="1">
      <alignment horizontal="left"/>
    </xf>
    <xf numFmtId="20" fontId="8" fillId="0" borderId="5" xfId="0" applyNumberFormat="1" applyFont="1" applyBorder="1" applyAlignment="1" applyProtection="1">
      <alignment horizontal="center" vertical="center"/>
      <protection locked="0"/>
    </xf>
    <xf numFmtId="20" fontId="8" fillId="0" borderId="2" xfId="0" applyNumberFormat="1" applyFont="1" applyBorder="1" applyAlignment="1" applyProtection="1">
      <alignment horizontal="center" vertical="center"/>
      <protection locked="0"/>
    </xf>
    <xf numFmtId="20" fontId="8" fillId="0" borderId="0" xfId="0" applyNumberFormat="1" applyFont="1" applyAlignment="1" applyProtection="1">
      <alignment horizontal="center" vertical="center"/>
      <protection locked="0"/>
    </xf>
    <xf numFmtId="170" fontId="16" fillId="4" borderId="8" xfId="0" applyNumberFormat="1" applyFont="1" applyFill="1" applyBorder="1" applyAlignment="1">
      <alignment horizontal="center"/>
    </xf>
    <xf numFmtId="170" fontId="16" fillId="4" borderId="9" xfId="0" applyNumberFormat="1" applyFont="1" applyFill="1" applyBorder="1" applyAlignment="1">
      <alignment horizontal="center"/>
    </xf>
    <xf numFmtId="0" fontId="7" fillId="4" borderId="1" xfId="0" applyFont="1" applyFill="1" applyBorder="1" applyAlignment="1">
      <alignment horizontal="center" vertical="center"/>
    </xf>
    <xf numFmtId="0" fontId="7" fillId="4" borderId="10" xfId="0" applyFont="1" applyFill="1" applyBorder="1" applyAlignment="1">
      <alignment horizontal="center" vertical="center"/>
    </xf>
    <xf numFmtId="20" fontId="8" fillId="0" borderId="14" xfId="0" applyNumberFormat="1" applyFont="1" applyBorder="1" applyAlignment="1" applyProtection="1">
      <alignment horizontal="center" vertical="center"/>
      <protection locked="0"/>
    </xf>
    <xf numFmtId="0" fontId="7" fillId="4" borderId="7" xfId="0" applyFont="1" applyFill="1" applyBorder="1" applyAlignment="1">
      <alignment horizontal="center" vertical="center"/>
    </xf>
    <xf numFmtId="0" fontId="6" fillId="2" borderId="11" xfId="0" applyFont="1" applyFill="1" applyBorder="1" applyAlignment="1">
      <alignment horizontal="left"/>
    </xf>
    <xf numFmtId="0" fontId="6" fillId="2" borderId="12" xfId="0" applyFont="1" applyFill="1" applyBorder="1" applyAlignment="1">
      <alignment horizontal="left"/>
    </xf>
    <xf numFmtId="0" fontId="6" fillId="6" borderId="0" xfId="0" applyFont="1" applyFill="1" applyAlignment="1">
      <alignment horizontal="center"/>
    </xf>
    <xf numFmtId="0" fontId="7" fillId="6" borderId="1" xfId="0" applyFont="1" applyFill="1" applyBorder="1" applyAlignment="1">
      <alignment horizontal="left" vertical="center"/>
    </xf>
    <xf numFmtId="0" fontId="2" fillId="0" borderId="0" xfId="0" applyFont="1" applyAlignment="1">
      <alignment horizontal="center"/>
    </xf>
    <xf numFmtId="0" fontId="6" fillId="2" borderId="13" xfId="0" applyFont="1" applyFill="1" applyBorder="1" applyAlignment="1">
      <alignment horizontal="left"/>
    </xf>
    <xf numFmtId="0" fontId="3" fillId="0" borderId="1" xfId="0" applyFont="1" applyBorder="1" applyAlignment="1">
      <alignment horizontal="right" vertical="top"/>
    </xf>
    <xf numFmtId="9" fontId="12" fillId="3" borderId="18" xfId="0" applyNumberFormat="1" applyFont="1" applyFill="1" applyBorder="1" applyAlignment="1">
      <alignment horizontal="center"/>
    </xf>
    <xf numFmtId="167" fontId="4" fillId="0" borderId="0" xfId="0" applyNumberFormat="1" applyFont="1" applyAlignment="1" applyProtection="1">
      <alignment horizontal="center" vertical="top"/>
      <protection locked="0"/>
    </xf>
    <xf numFmtId="0" fontId="23" fillId="5" borderId="19" xfId="0" applyFont="1" applyFill="1" applyBorder="1" applyAlignment="1">
      <alignment horizontal="center" vertical="center" wrapText="1"/>
    </xf>
    <xf numFmtId="0" fontId="23" fillId="5" borderId="20" xfId="0" applyFont="1" applyFill="1" applyBorder="1" applyAlignment="1">
      <alignment horizontal="center" vertical="center" wrapText="1"/>
    </xf>
    <xf numFmtId="0" fontId="8" fillId="7" borderId="26" xfId="0" applyFont="1" applyFill="1" applyBorder="1" applyAlignment="1">
      <alignment horizontal="center" textRotation="90"/>
    </xf>
    <xf numFmtId="0" fontId="8" fillId="7" borderId="22" xfId="0" applyFont="1" applyFill="1" applyBorder="1" applyAlignment="1">
      <alignment horizontal="center" textRotation="90"/>
    </xf>
    <xf numFmtId="0" fontId="8" fillId="7" borderId="0" xfId="0" applyFont="1" applyFill="1" applyAlignment="1">
      <alignment horizontal="center" textRotation="90"/>
    </xf>
    <xf numFmtId="0" fontId="23" fillId="5" borderId="25"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8" fillId="7" borderId="21" xfId="0" applyFont="1" applyFill="1" applyBorder="1" applyAlignment="1">
      <alignment horizontal="center" textRotation="90"/>
    </xf>
    <xf numFmtId="0" fontId="16" fillId="6" borderId="33" xfId="0" applyFont="1" applyFill="1" applyBorder="1" applyAlignment="1">
      <alignment horizontal="left" vertical="center"/>
    </xf>
    <xf numFmtId="0" fontId="16" fillId="6" borderId="34" xfId="0" applyFont="1" applyFill="1" applyBorder="1" applyAlignment="1">
      <alignment horizontal="left" vertical="center"/>
    </xf>
    <xf numFmtId="0" fontId="16" fillId="6" borderId="35" xfId="0" applyFont="1" applyFill="1" applyBorder="1" applyAlignment="1">
      <alignment horizontal="left" vertical="center"/>
    </xf>
  </cellXfs>
  <cellStyles count="1">
    <cellStyle name="Normal" xfId="0" builtinId="0"/>
  </cellStyles>
  <dxfs count="103">
    <dxf>
      <font>
        <color theme="0"/>
      </font>
      <fill>
        <patternFill>
          <bgColor theme="0" tint="-0.34998626667073579"/>
        </patternFill>
      </fill>
    </dxf>
    <dxf>
      <fill>
        <patternFill>
          <bgColor rgb="FFFD6D66"/>
        </patternFill>
      </fill>
    </dxf>
    <dxf>
      <fill>
        <patternFill>
          <bgColor rgb="FFFED664"/>
        </patternFill>
      </fill>
    </dxf>
    <dxf>
      <fill>
        <patternFill>
          <bgColor rgb="FFE56FA7"/>
        </patternFill>
      </fill>
    </dxf>
    <dxf>
      <fill>
        <patternFill>
          <bgColor rgb="FF5FC594"/>
        </patternFill>
      </fill>
    </dxf>
    <dxf>
      <fill>
        <patternFill>
          <bgColor rgb="FFA895F5"/>
        </patternFill>
      </fill>
    </dxf>
    <dxf>
      <fill>
        <patternFill>
          <bgColor rgb="FFFD6D66"/>
        </patternFill>
      </fill>
    </dxf>
    <dxf>
      <fill>
        <patternFill>
          <bgColor rgb="FFFED664"/>
        </patternFill>
      </fill>
    </dxf>
    <dxf>
      <fill>
        <patternFill>
          <bgColor rgb="FFE56FA7"/>
        </patternFill>
      </fill>
    </dxf>
    <dxf>
      <fill>
        <patternFill>
          <bgColor rgb="FF5FC594"/>
        </patternFill>
      </fill>
    </dxf>
    <dxf>
      <fill>
        <patternFill>
          <bgColor rgb="FFA895F5"/>
        </patternFill>
      </fill>
    </dxf>
    <dxf>
      <font>
        <color rgb="FFF0F0F0"/>
      </font>
      <fill>
        <patternFill>
          <bgColor rgb="FFF0F0F0"/>
        </patternFill>
      </fill>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EEEEEE"/>
      </font>
      <fill>
        <patternFill>
          <bgColor rgb="FFF0F0F0"/>
        </patternFill>
      </fill>
    </dxf>
    <dxf>
      <font>
        <color theme="9"/>
      </font>
    </dxf>
    <dxf>
      <font>
        <color theme="9"/>
      </font>
    </dxf>
    <dxf>
      <font>
        <color theme="9"/>
      </font>
    </dxf>
    <dxf>
      <font>
        <color rgb="FFFF0000"/>
      </font>
    </dxf>
    <dxf>
      <font>
        <color rgb="FFFF0000"/>
      </font>
    </dxf>
    <dxf>
      <font>
        <color theme="9"/>
      </font>
    </dxf>
    <dxf>
      <font>
        <color rgb="FFFF0000"/>
      </font>
    </dxf>
    <dxf>
      <font>
        <color rgb="FFFF0000"/>
      </font>
    </dxf>
    <dxf>
      <font>
        <color theme="9"/>
      </font>
    </dxf>
    <dxf>
      <font>
        <color theme="9"/>
      </font>
    </dxf>
    <dxf>
      <font>
        <color rgb="FFFF0000"/>
      </font>
    </dxf>
    <dxf>
      <font>
        <color rgb="FFFF0000"/>
      </font>
    </dxf>
  </dxfs>
  <tableStyles count="0" defaultTableStyle="TableStyleMedium2" defaultPivotStyle="PivotStyleLight16"/>
  <colors>
    <mruColors>
      <color rgb="FFF0F0F0"/>
      <color rgb="FFEEEEEE"/>
      <color rgb="FF5FC594"/>
      <color rgb="FF1858FB"/>
      <color rgb="FFFF3300"/>
      <color rgb="FFA895F5"/>
      <color rgb="FFE56FA7"/>
      <color rgb="FFFED664"/>
      <color rgb="FFFD6D66"/>
      <color rgb="FF5FC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o-R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SP!$C$3</c:f>
              <c:strCache>
                <c:ptCount val="1"/>
                <c:pt idx="0">
                  <c:v>Staff</c:v>
                </c:pt>
              </c:strCache>
            </c:strRef>
          </c:tx>
          <c:spPr>
            <a:solidFill>
              <a:srgbClr val="1858FB"/>
            </a:solidFill>
            <a:ln>
              <a:noFill/>
            </a:ln>
            <a:effectLst/>
          </c:spPr>
          <c:invertIfNegative val="0"/>
          <c:cat>
            <c:numRef>
              <c:f>[0]!SPDataTimes</c:f>
              <c:numCache>
                <c:formatCode>h:mm</c:formatCode>
                <c:ptCount val="29"/>
                <c:pt idx="0">
                  <c:v>0.29166666666666663</c:v>
                </c:pt>
                <c:pt idx="1">
                  <c:v>0.31249999999999994</c:v>
                </c:pt>
                <c:pt idx="2">
                  <c:v>0.33333333333333326</c:v>
                </c:pt>
                <c:pt idx="3">
                  <c:v>0.35416666666666657</c:v>
                </c:pt>
                <c:pt idx="4">
                  <c:v>0.37499999999999989</c:v>
                </c:pt>
                <c:pt idx="5">
                  <c:v>0.3958333333333332</c:v>
                </c:pt>
                <c:pt idx="6">
                  <c:v>0.41666666666666652</c:v>
                </c:pt>
                <c:pt idx="7">
                  <c:v>0.43749999999999983</c:v>
                </c:pt>
                <c:pt idx="8">
                  <c:v>0.45833333333333315</c:v>
                </c:pt>
                <c:pt idx="9">
                  <c:v>0.47916666666666646</c:v>
                </c:pt>
                <c:pt idx="10">
                  <c:v>0.49999999999999978</c:v>
                </c:pt>
                <c:pt idx="11">
                  <c:v>0.52083333333333315</c:v>
                </c:pt>
                <c:pt idx="12">
                  <c:v>0.54166666666666652</c:v>
                </c:pt>
                <c:pt idx="13">
                  <c:v>0.56249999999999989</c:v>
                </c:pt>
                <c:pt idx="14">
                  <c:v>0.58333333333333326</c:v>
                </c:pt>
                <c:pt idx="15">
                  <c:v>0.60416666666666663</c:v>
                </c:pt>
                <c:pt idx="16">
                  <c:v>0.625</c:v>
                </c:pt>
                <c:pt idx="17">
                  <c:v>0.64583333333333337</c:v>
                </c:pt>
                <c:pt idx="18">
                  <c:v>0.66666666666666674</c:v>
                </c:pt>
                <c:pt idx="19">
                  <c:v>0.68750000000000011</c:v>
                </c:pt>
                <c:pt idx="20">
                  <c:v>0.70833333333333348</c:v>
                </c:pt>
                <c:pt idx="21">
                  <c:v>0.72916666666666685</c:v>
                </c:pt>
                <c:pt idx="22">
                  <c:v>0.75000000000000022</c:v>
                </c:pt>
                <c:pt idx="23">
                  <c:v>0.77083333333333359</c:v>
                </c:pt>
                <c:pt idx="24">
                  <c:v>0.79166666666666696</c:v>
                </c:pt>
                <c:pt idx="25">
                  <c:v>0.81250000000000033</c:v>
                </c:pt>
                <c:pt idx="26">
                  <c:v>0.8333333333333337</c:v>
                </c:pt>
                <c:pt idx="27">
                  <c:v>0.85416666666666707</c:v>
                </c:pt>
                <c:pt idx="28">
                  <c:v>0.87500000000000044</c:v>
                </c:pt>
              </c:numCache>
            </c:numRef>
          </c:cat>
          <c:val>
            <c:numRef>
              <c:f>[0]!SPDataValues</c:f>
              <c:numCache>
                <c:formatCode>General</c:formatCode>
                <c:ptCount val="29"/>
                <c:pt idx="0">
                  <c:v>0</c:v>
                </c:pt>
                <c:pt idx="1">
                  <c:v>0</c:v>
                </c:pt>
                <c:pt idx="2">
                  <c:v>0</c:v>
                </c:pt>
                <c:pt idx="3">
                  <c:v>0</c:v>
                </c:pt>
                <c:pt idx="4">
                  <c:v>0</c:v>
                </c:pt>
                <c:pt idx="5">
                  <c:v>0</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numCache>
            </c:numRef>
          </c:val>
          <c:extLst>
            <c:ext xmlns:c16="http://schemas.microsoft.com/office/drawing/2014/chart" uri="{C3380CC4-5D6E-409C-BE32-E72D297353CC}">
              <c16:uniqueId val="{00000000-FC20-4CBD-9713-2675978F5CC7}"/>
            </c:ext>
          </c:extLst>
        </c:ser>
        <c:dLbls>
          <c:showLegendKey val="0"/>
          <c:showVal val="0"/>
          <c:showCatName val="0"/>
          <c:showSerName val="0"/>
          <c:showPercent val="0"/>
          <c:showBubbleSize val="0"/>
        </c:dLbls>
        <c:gapWidth val="219"/>
        <c:overlap val="-27"/>
        <c:axId val="472752760"/>
        <c:axId val="472753088"/>
      </c:barChart>
      <c:catAx>
        <c:axId val="472752760"/>
        <c:scaling>
          <c:orientation val="minMax"/>
        </c:scaling>
        <c:delete val="0"/>
        <c:axPos val="b"/>
        <c:numFmt formatCode="h:mm"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753088"/>
        <c:crosses val="autoZero"/>
        <c:auto val="1"/>
        <c:lblAlgn val="ctr"/>
        <c:lblOffset val="100"/>
        <c:noMultiLvlLbl val="0"/>
      </c:catAx>
      <c:valAx>
        <c:axId val="472753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752760"/>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35983</xdr:colOff>
      <xdr:row>0</xdr:row>
      <xdr:rowOff>187421</xdr:rowOff>
    </xdr:from>
    <xdr:to>
      <xdr:col>19</xdr:col>
      <xdr:colOff>61383</xdr:colOff>
      <xdr:row>2</xdr:row>
      <xdr:rowOff>336527</xdr:rowOff>
    </xdr:to>
    <xdr:pic>
      <xdr:nvPicPr>
        <xdr:cNvPr id="3" name="Picture 2">
          <a:extLst>
            <a:ext uri="{FF2B5EF4-FFF2-40B4-BE49-F238E27FC236}">
              <a16:creationId xmlns:a16="http://schemas.microsoft.com/office/drawing/2014/main" id="{6CF71E95-0AB4-BA4A-A4C3-93DD7202D7DC}"/>
            </a:ext>
          </a:extLst>
        </xdr:cNvPr>
        <xdr:cNvPicPr>
          <a:picLocks noChangeAspect="1"/>
        </xdr:cNvPicPr>
      </xdr:nvPicPr>
      <xdr:blipFill>
        <a:blip xmlns:r="http://schemas.openxmlformats.org/officeDocument/2006/relationships" r:embed="rId1"/>
        <a:stretch>
          <a:fillRect/>
        </a:stretch>
      </xdr:blipFill>
      <xdr:spPr>
        <a:xfrm>
          <a:off x="8637347" y="187421"/>
          <a:ext cx="3258127" cy="668651"/>
        </a:xfrm>
        <a:prstGeom prst="rect">
          <a:avLst/>
        </a:prstGeom>
      </xdr:spPr>
    </xdr:pic>
    <xdr:clientData/>
  </xdr:twoCellAnchor>
  <xdr:twoCellAnchor>
    <xdr:from>
      <xdr:col>24</xdr:col>
      <xdr:colOff>242453</xdr:colOff>
      <xdr:row>4</xdr:row>
      <xdr:rowOff>80818</xdr:rowOff>
    </xdr:from>
    <xdr:to>
      <xdr:col>27</xdr:col>
      <xdr:colOff>3671454</xdr:colOff>
      <xdr:row>9</xdr:row>
      <xdr:rowOff>205894</xdr:rowOff>
    </xdr:to>
    <xdr:graphicFrame macro="">
      <xdr:nvGraphicFramePr>
        <xdr:cNvPr id="6" name="Chart 5">
          <a:extLst>
            <a:ext uri="{FF2B5EF4-FFF2-40B4-BE49-F238E27FC236}">
              <a16:creationId xmlns:a16="http://schemas.microsoft.com/office/drawing/2014/main" id="{BE82FF63-5AC0-4A1E-B6CC-A09C42252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E56C-EB11-DE48-BC61-F0DC73D297E8}">
  <sheetPr>
    <tabColor rgb="FF1858FB"/>
  </sheetPr>
  <dimension ref="A1:AD43"/>
  <sheetViews>
    <sheetView showGridLines="0" tabSelected="1" zoomScale="110" zoomScaleNormal="110" workbookViewId="0">
      <pane ySplit="10" topLeftCell="A19" activePane="bottomLeft" state="frozen"/>
      <selection pane="bottomLeft" activeCell="A2" sqref="A2:N3"/>
    </sheetView>
  </sheetViews>
  <sheetFormatPr defaultColWidth="10.875" defaultRowHeight="15"/>
  <cols>
    <col min="1" max="1" width="5.125" style="10" customWidth="1"/>
    <col min="2" max="2" width="1.5" style="10" customWidth="1"/>
    <col min="3" max="3" width="8.625" style="10" customWidth="1"/>
    <col min="4" max="4" width="11" style="10" customWidth="1"/>
    <col min="5" max="5" width="10.125" style="10" customWidth="1"/>
    <col min="6" max="6" width="8.5" style="51" customWidth="1"/>
    <col min="7" max="7" width="8.5" style="36" customWidth="1"/>
    <col min="8" max="19" width="8.5" style="10" customWidth="1"/>
    <col min="20" max="25" width="3.875" style="34" customWidth="1"/>
    <col min="26" max="26" width="15.625" style="10" customWidth="1"/>
    <col min="27" max="27" width="13.125" style="10" customWidth="1"/>
    <col min="28" max="28" width="48.125" style="10" customWidth="1"/>
    <col min="29" max="16384" width="10.875" style="10"/>
  </cols>
  <sheetData>
    <row r="1" spans="1:30" ht="23.1" customHeight="1">
      <c r="A1" s="87"/>
      <c r="B1" s="87"/>
      <c r="C1" s="87"/>
      <c r="D1" s="87"/>
      <c r="E1" s="87"/>
      <c r="F1" s="87"/>
      <c r="G1" s="87"/>
      <c r="H1" s="87"/>
      <c r="I1" s="87"/>
      <c r="J1" s="87"/>
      <c r="K1" s="87"/>
      <c r="L1" s="87"/>
      <c r="M1" s="87"/>
      <c r="N1" s="87"/>
      <c r="O1" s="87"/>
      <c r="P1" s="87"/>
      <c r="Q1" s="87"/>
      <c r="R1" s="87"/>
      <c r="S1" s="87"/>
    </row>
    <row r="2" spans="1:30" ht="18.75" customHeight="1">
      <c r="A2" s="61" t="s">
        <v>0</v>
      </c>
      <c r="B2" s="61"/>
      <c r="C2" s="61"/>
      <c r="D2" s="61"/>
      <c r="E2" s="61"/>
      <c r="F2" s="61"/>
      <c r="G2" s="61"/>
      <c r="H2" s="61"/>
      <c r="I2" s="61"/>
      <c r="J2" s="61"/>
      <c r="K2" s="61"/>
      <c r="L2" s="61"/>
      <c r="M2" s="61"/>
      <c r="N2" s="61"/>
      <c r="O2" s="57"/>
      <c r="P2" s="57"/>
      <c r="Q2" s="57"/>
      <c r="R2" s="57"/>
      <c r="S2" s="57"/>
      <c r="Z2" s="35"/>
      <c r="AC2" s="36"/>
    </row>
    <row r="3" spans="1:30" ht="27" customHeight="1">
      <c r="A3" s="61"/>
      <c r="B3" s="61"/>
      <c r="C3" s="61"/>
      <c r="D3" s="61"/>
      <c r="E3" s="61"/>
      <c r="F3" s="61"/>
      <c r="G3" s="61"/>
      <c r="H3" s="61"/>
      <c r="I3" s="61"/>
      <c r="J3" s="61"/>
      <c r="K3" s="61"/>
      <c r="L3" s="61"/>
      <c r="M3" s="61"/>
      <c r="N3" s="61"/>
      <c r="O3" s="57"/>
      <c r="P3" s="57"/>
      <c r="Q3" s="57"/>
      <c r="R3" s="57"/>
      <c r="S3" s="57"/>
      <c r="AC3" s="36"/>
    </row>
    <row r="4" spans="1:30" ht="23.1" customHeight="1" thickBot="1">
      <c r="A4" s="58"/>
      <c r="B4" s="58"/>
      <c r="C4" s="58"/>
      <c r="D4" s="58"/>
      <c r="E4" s="58"/>
      <c r="F4" s="58"/>
      <c r="G4" s="58"/>
      <c r="H4" s="58"/>
      <c r="I4" s="58"/>
      <c r="J4" s="58"/>
      <c r="K4" s="58"/>
      <c r="L4" s="58"/>
      <c r="M4" s="58"/>
      <c r="N4" s="58"/>
      <c r="O4" s="58"/>
      <c r="P4" s="89" t="s">
        <v>1</v>
      </c>
      <c r="Q4" s="89"/>
      <c r="R4" s="91">
        <v>43773</v>
      </c>
      <c r="S4" s="91"/>
      <c r="T4" s="38"/>
      <c r="U4" s="38"/>
      <c r="V4" s="38"/>
      <c r="W4" s="38"/>
      <c r="X4" s="38"/>
      <c r="Z4" s="37" t="s">
        <v>2</v>
      </c>
      <c r="AA4" s="20">
        <v>43773</v>
      </c>
    </row>
    <row r="5" spans="1:30" ht="26.1" customHeight="1" thickTop="1">
      <c r="A5" s="85"/>
      <c r="B5" s="85"/>
      <c r="C5" s="85"/>
      <c r="D5" s="85"/>
      <c r="E5" s="85"/>
      <c r="F5" s="77">
        <f>R4</f>
        <v>43773</v>
      </c>
      <c r="G5" s="78"/>
      <c r="H5" s="77">
        <f>R4+1</f>
        <v>43774</v>
      </c>
      <c r="I5" s="78"/>
      <c r="J5" s="77">
        <f>R4+2</f>
        <v>43775</v>
      </c>
      <c r="K5" s="78"/>
      <c r="L5" s="77">
        <f>R4+3</f>
        <v>43776</v>
      </c>
      <c r="M5" s="78"/>
      <c r="N5" s="77">
        <f>R4+4</f>
        <v>43777</v>
      </c>
      <c r="O5" s="78"/>
      <c r="P5" s="77">
        <f>R4+5</f>
        <v>43778</v>
      </c>
      <c r="Q5" s="78"/>
      <c r="R5" s="77">
        <f>R4+6</f>
        <v>43779</v>
      </c>
      <c r="S5" s="78"/>
      <c r="T5" s="99" t="s">
        <v>3</v>
      </c>
      <c r="U5" s="95" t="s">
        <v>4</v>
      </c>
      <c r="V5" s="95" t="s">
        <v>5</v>
      </c>
      <c r="W5" s="94" t="s">
        <v>6</v>
      </c>
      <c r="X5" s="96" t="s">
        <v>7</v>
      </c>
      <c r="Y5" s="11"/>
    </row>
    <row r="6" spans="1:30" ht="26.1" customHeight="1" thickBot="1">
      <c r="A6" s="86"/>
      <c r="B6" s="86"/>
      <c r="C6" s="86"/>
      <c r="D6" s="39" t="s">
        <v>8</v>
      </c>
      <c r="E6" s="40" t="s">
        <v>9</v>
      </c>
      <c r="F6" s="79" t="str">
        <f>IF(COUNT(F12:F88)=1,COUNT(F12:F88)&amp;" Shift",COUNT(F12:F88)&amp;" Shifts")</f>
        <v>1 Shift</v>
      </c>
      <c r="G6" s="80"/>
      <c r="H6" s="82" t="str">
        <f>IF(COUNT(H12:H88)=1,COUNT(H12:H88)&amp;" Shift",COUNT(H12:H88)&amp;" Shifts")</f>
        <v>2 Shifts</v>
      </c>
      <c r="I6" s="80"/>
      <c r="J6" s="82" t="str">
        <f>IF(COUNT(J12:J88)=1,COUNT(J12:J88)&amp;" Shift",COUNT(J12:J88)&amp;" Shifts")</f>
        <v>1 Shift</v>
      </c>
      <c r="K6" s="80"/>
      <c r="L6" s="82" t="str">
        <f>IF(COUNT(L12:L88)=1,COUNT(L12:L88)&amp;" Shift",COUNT(L12:L88)&amp;" Shifts")</f>
        <v>1 Shift</v>
      </c>
      <c r="M6" s="80"/>
      <c r="N6" s="82" t="str">
        <f>IF(COUNT(N12:N88)=1,COUNT(N12:N88)&amp;" Shift",COUNT(N12:N88)&amp;" Shifts")</f>
        <v>1 Shift</v>
      </c>
      <c r="O6" s="80"/>
      <c r="P6" s="82" t="str">
        <f>IF(COUNT(P12:P88)=1,COUNT(P12:P88)&amp;" Shift",COUNT(P12:P88)&amp;" Shifts")</f>
        <v>1 Shift</v>
      </c>
      <c r="Q6" s="80"/>
      <c r="R6" s="82" t="str">
        <f>IF(COUNT(R12:R88)=1,COUNT(R12:R88)&amp;" Shift",COUNT(R12:R88)&amp;" Shifts")</f>
        <v>1 Shift</v>
      </c>
      <c r="S6" s="80"/>
      <c r="T6" s="99"/>
      <c r="U6" s="95"/>
      <c r="V6" s="95"/>
      <c r="W6" s="95"/>
      <c r="X6" s="96"/>
      <c r="Y6" s="11"/>
    </row>
    <row r="7" spans="1:30" ht="20.100000000000001" customHeight="1" thickTop="1">
      <c r="A7" s="83" t="s">
        <v>10</v>
      </c>
      <c r="B7" s="83"/>
      <c r="C7" s="83"/>
      <c r="D7" s="54">
        <v>10000</v>
      </c>
      <c r="E7" s="41">
        <f>SUM(F7:S7)</f>
        <v>11500</v>
      </c>
      <c r="F7" s="66">
        <v>1200</v>
      </c>
      <c r="G7" s="66"/>
      <c r="H7" s="66">
        <v>1300</v>
      </c>
      <c r="I7" s="66"/>
      <c r="J7" s="66">
        <v>1450</v>
      </c>
      <c r="K7" s="66"/>
      <c r="L7" s="66">
        <v>1500</v>
      </c>
      <c r="M7" s="66"/>
      <c r="N7" s="66">
        <v>2050</v>
      </c>
      <c r="O7" s="66"/>
      <c r="P7" s="66">
        <v>2200</v>
      </c>
      <c r="Q7" s="66"/>
      <c r="R7" s="66">
        <v>1800</v>
      </c>
      <c r="S7" s="69"/>
      <c r="T7" s="99"/>
      <c r="U7" s="95"/>
      <c r="V7" s="95"/>
      <c r="W7" s="95"/>
      <c r="X7" s="96"/>
      <c r="Y7" s="11"/>
    </row>
    <row r="8" spans="1:30" ht="20.100000000000001" customHeight="1">
      <c r="A8" s="84" t="s">
        <v>11</v>
      </c>
      <c r="B8" s="84"/>
      <c r="C8" s="84"/>
      <c r="D8" s="55">
        <v>300</v>
      </c>
      <c r="E8" s="42">
        <f>SUM(A12:A88)</f>
        <v>82</v>
      </c>
      <c r="F8" s="65">
        <f>(((IF(COUNT(F12:G12)=2,(G12-F12),0))+(IF(COUNT(F14:G14)=2,(G14-F14),0))+(IF(COUNT(F16:G16)=2,(G16-F16),0))+(IF(COUNT(F18:G18)=2,(G18-F18),0))+(IF(COUNT(F20:G20)=2,(G20-F20),0))+(IF(COUNT(F22:G22)=2,(G22-F22),0))+(IF(COUNT(F24:G24)=2,(G24-F24),0))+IF(COUNT(F26:G26)=2,(G26-F26),0))+(IF(COUNT(F28:G28)=2,(G28-F28),0))+(IF(COUNT(F30:G30)=2,(G30-F30),0))+(IF(COUNT(F32:G32)=2,(G32-F32),0))+(IF(COUNT(F34:G34)=2,(G34-F34),0))+(IF(COUNT(F36:G36)=2,(G36-F36),0))+(IF(COUNT(F38:G38)=2,(G38-F38),0))+(IF(COUNT(F40:G40)=2,(G40-F40),0)))*24</f>
        <v>13.000000000000018</v>
      </c>
      <c r="G8" s="65"/>
      <c r="H8" s="65">
        <f>(((IF(COUNT(H12:I12)=2,(I12-H12),0))+(IF(COUNT(H14:I14)=2,(I14-H14),0))+(IF(COUNT(H16:I16)=2,(I16-H16),0))+(IF(COUNT(H18:I18)=2,(I18-H18),0))+(IF(COUNT(H20:I20)=2,(I20-H20),0))+(IF(COUNT(H22:I22)=2,(I22-H22),0))+(IF(COUNT(H24:I24)=2,(I24-H24),0))+IF(COUNT(H26:I26)=2,(I26-H26),0))+(IF(COUNT(H28:I28)=2,(I28-H28),0))+(IF(COUNT(H30:I30)=2,(I30-H30),0))+(IF(COUNT(H32:I32)=2,(I32-H32),0))+(IF(COUNT(H34:I34)=2,(I34-H34),0))+(IF(COUNT(H36:I36)=2,(I36-H36),0))+(IF(COUNT(H38:I38)=2,(I38-H38),0))+(IF(COUNT(H40:I40)=2,(I40-H40),0)))*24</f>
        <v>20.000000000000021</v>
      </c>
      <c r="I8" s="65"/>
      <c r="J8" s="65">
        <f>(((IF(COUNT(J12:K12)=2,(K12-J12),0))+(IF(COUNT(J14:K14)=2,(K14-J14),0))+(IF(COUNT(J16:K16)=2,(K16-J16),0))+(IF(COUNT(J18:K18)=2,(K18-J18),0))+(IF(COUNT(J20:K20)=2,(K20-J20),0))+(IF(COUNT(J22:K22)=2,(K22-J22),0))+(IF(COUNT(J24:K24)=2,(K24-J24),0))+IF(COUNT(J26:K26)=2,(K26-J26),0))+(IF(COUNT(J28:K28)=2,(K28-J28),0))+(IF(COUNT(J30:K30)=2,(K30-J30),0))+(IF(COUNT(J32:K32)=2,(K32-J32),0))+(IF(COUNT(J34:K34)=2,(K34-J34),0))+(IF(COUNT(J36:K36)=2,(K36-J36),0))+(IF(COUNT(J38:K38)=2,(K38-J38),0))+(IF(COUNT(J40:K40)=2,(K40-J40),0)))*24</f>
        <v>11.000000000000011</v>
      </c>
      <c r="K8" s="65"/>
      <c r="L8" s="65">
        <f t="shared" ref="L8" si="0">(((IF(COUNT(L12:M12)=2,(M12-L12),0))+(IF(COUNT(L14:M14)=2,(M14-L14),0))+(IF(COUNT(L16:M16)=2,(M16-L16),0))+(IF(COUNT(L18:M18)=2,(M18-L18),0))+(IF(COUNT(L20:M20)=2,(M20-L20),0))+(IF(COUNT(L22:M22)=2,(M22-L22),0))+(IF(COUNT(L24:M24)=2,(M24-L24),0))+IF(COUNT(L26:M26)=2,(M26-L26),0))+(IF(COUNT(L28:M28)=2,(M28-L28),0))+(IF(COUNT(L30:M30)=2,(M30-L30),0))+(IF(COUNT(L32:M32)=2,(M32-L32),0))+(IF(COUNT(L34:M34)=2,(M34-L34),0))+(IF(COUNT(L36:M36)=2,(M36-L36),0))+(IF(COUNT(L38:M38)=2,(M38-L38),0))+(IF(COUNT(L40:M40)=2,(M40-L40),0)))*24</f>
        <v>9.0000000000000107</v>
      </c>
      <c r="M8" s="65"/>
      <c r="N8" s="65">
        <f t="shared" ref="N8" si="1">(((IF(COUNT(N12:O12)=2,(O12-N12),0))+(IF(COUNT(N14:O14)=2,(O14-N14),0))+(IF(COUNT(N16:O16)=2,(O16-N16),0))+(IF(COUNT(N18:O18)=2,(O18-N18),0))+(IF(COUNT(N20:O20)=2,(O20-N20),0))+(IF(COUNT(N22:O22)=2,(O22-N22),0))+(IF(COUNT(N24:O24)=2,(O24-N24),0))+IF(COUNT(N26:O26)=2,(O26-N26),0))+(IF(COUNT(N28:O28)=2,(O28-N28),0))+(IF(COUNT(N30:O30)=2,(O30-N30),0))+(IF(COUNT(N32:O32)=2,(O32-N32),0))+(IF(COUNT(N34:O34)=2,(O34-N34),0))+(IF(COUNT(N36:O36)=2,(O36-N36),0))+(IF(COUNT(N38:O38)=2,(O38-N38),0))+(IF(COUNT(N40:O40)=2,(O40-N40),0)))*24</f>
        <v>9.000000000000016</v>
      </c>
      <c r="O8" s="65"/>
      <c r="P8" s="65">
        <f t="shared" ref="P8" si="2">(((IF(COUNT(P12:Q12)=2,(Q12-P12),0))+(IF(COUNT(P14:Q14)=2,(Q14-P14),0))+(IF(COUNT(P16:Q16)=2,(Q16-P16),0))+(IF(COUNT(P18:Q18)=2,(Q18-P18),0))+(IF(COUNT(P20:Q20)=2,(Q20-P20),0))+(IF(COUNT(P22:Q22)=2,(Q22-P22),0))+(IF(COUNT(P24:Q24)=2,(Q24-P24),0))+IF(COUNT(P26:Q26)=2,(Q26-P26),0))+(IF(COUNT(P28:Q28)=2,(Q28-P28),0))+(IF(COUNT(P30:Q30)=2,(Q30-P30),0))+(IF(COUNT(P32:Q32)=2,(Q32-P32),0))+(IF(COUNT(P34:Q34)=2,(Q34-P34),0))+(IF(COUNT(P36:Q36)=2,(Q36-P36),0))+(IF(COUNT(P38:Q38)=2,(Q38-P38),0))+(IF(COUNT(P40:Q40)=2,(Q40-P40),0)))*24</f>
        <v>11.000000000000011</v>
      </c>
      <c r="Q8" s="65"/>
      <c r="R8" s="65">
        <f t="shared" ref="R8" si="3">(((IF(COUNT(R12:S12)=2,(S12-R12),0))+(IF(COUNT(R14:S14)=2,(S14-R14),0))+(IF(COUNT(R16:S16)=2,(S16-R16),0))+(IF(COUNT(R18:S18)=2,(S18-R18),0))+(IF(COUNT(R20:S20)=2,(S20-R20),0))+(IF(COUNT(R22:S22)=2,(S22-R22),0))+(IF(COUNT(R24:S24)=2,(S24-R24),0))+IF(COUNT(R26:S26)=2,(S26-R26),0))+(IF(COUNT(R28:S28)=2,(S28-R28),0))+(IF(COUNT(R30:S30)=2,(S30-R30),0))+(IF(COUNT(R32:S32)=2,(S32-R32),0))+(IF(COUNT(R34:S34)=2,(S34-R34),0))+(IF(COUNT(R36:S36)=2,(S36-R36),0))+(IF(COUNT(R38:S38)=2,(S38-R38),0))+(IF(COUNT(R40:S40)=2,(S40-R40),0)))*24</f>
        <v>9.0000000000000142</v>
      </c>
      <c r="S8" s="68"/>
      <c r="T8" s="99"/>
      <c r="U8" s="95"/>
      <c r="V8" s="95"/>
      <c r="W8" s="95"/>
      <c r="X8" s="96"/>
      <c r="Y8" s="11"/>
    </row>
    <row r="9" spans="1:30" ht="20.100000000000001" customHeight="1">
      <c r="A9" s="84" t="s">
        <v>12</v>
      </c>
      <c r="B9" s="84"/>
      <c r="C9" s="84"/>
      <c r="D9" s="56">
        <v>3000</v>
      </c>
      <c r="E9" s="43">
        <f>SUM(D12:D40)</f>
        <v>1000.5654428000001</v>
      </c>
      <c r="F9" s="59">
        <f>1.1*1.03*1.1207*(IF(COUNT(F12:G12)=2,(INDEX(Config!$I:$I,MATCH(Rota!$A11,Config!$F:$F,0))*((G12-F12)*24)),0))+(IF(COUNT(F14:G14)=2,(INDEX(Config!$I:$I,MATCH(Rota!$A13,Config!$F:$F,0))*((G14-F14)*24)),0))+(IF(COUNT(F16:G16)=2,(INDEX(Config!$I:$I,MATCH(Rota!$A15,Config!$F:$F,0))*((G16-F16)*24)),0))+(IF(COUNT(F18:G18)=2,(INDEX(Config!$I:$I,MATCH(Rota!$A17,Config!$F:$F,0))*((G18-F18)*24)),0))+(IF(COUNT(F20:G20)=2,(INDEX(Config!$I:$I,MATCH(Rota!$A19,Config!$F:$F,0))*((G20-F20)*24)),0))+(IF(COUNT(F22:G22)=2,(INDEX(Config!$I:$I,MATCH(Rota!$A21,Config!$F:$F,0))*((G22-F22)*24)),0))+(IF(COUNT(F24:G24)=2,(INDEX(Config!$I:$I,MATCH(Rota!$A23,Config!$F:$F,0))*((G24-F24)*24)),0))+(IF(COUNT(F26:G26)=2,(INDEX(Config!$I:$I,MATCH(Rota!$A25,Config!$F:$F,0))*((G26-F26)*24)),0))+(IF(COUNT(F28:G28)=2,(INDEX(Config!$I:$I,MATCH(Rota!$A27,Config!$F:$F,0))*((G28-F28)*24)),0))+(IF(COUNT(F30:G30)=2,(INDEX(Config!$I:$I,MATCH(Rota!$A29,Config!$F:$F,0))*((G30-F30)*24)),0))+(IF(COUNT(F32:G32)=2,(INDEX(Config!$I:$I,MATCH(Rota!$A31,Config!$F:$F,0))*((G32-F32)*24)),0))+(IF(COUNT(F34:G34)=2,(INDEX(Config!$I:$I,MATCH(Rota!$A33,Config!$F:$F,0))*((G34-F34)*24)),0))+(IF(COUNT(F36:G36)=2,(INDEX(Config!$I:$I,MATCH(Rota!$A35,Config!$F:$F,0))*((G36-F36)*24)),0))+(IF(COUNT(F38:G38)=2,(INDEX(Config!$I:$I,MATCH(Rota!$A37,Config!$F:$F,0))*((G38-F38)*24)),0))+(IF(COUNT(F40:G40)=2,(INDEX(Config!$I:$I,MATCH(Rota!$A39,Config!$F:$F,0))*((G40-F40)*24)),0))</f>
        <v>165.06790300000023</v>
      </c>
      <c r="G9" s="59"/>
      <c r="H9" s="59">
        <f>1.1*1.03*1.1207*(IF(COUNT(H12:I12)=2,(INDEX(Config!$I:$I,MATCH(Rota!$A11,Config!$F:$F,0))*((I12-H12)*24)),0))+(IF(COUNT(H14:I14)=2,(INDEX(Config!$I:$I,MATCH(Rota!$A13,Config!$F:$F,0))*((I14-H14)*24)),0))+(IF(COUNT(H16:I16)=2,(INDEX(Config!$I:$I,MATCH(Rota!$A15,Config!$F:$F,0))*((I16-H16)*24)),0))+(IF(COUNT(H18:I18)=2,(INDEX(Config!$I:$I,MATCH(Rota!$A17,Config!$F:$F,0))*((I18-H18)*24)),0))+(IF(COUNT(H20:I20)=2,(INDEX(Config!$I:$I,MATCH(Rota!$A19,Config!$F:$F,0))*((I20-H20)*24)),0))+(IF(COUNT(H22:I22)=2,(INDEX(Config!$I:$I,MATCH(Rota!$A21,Config!$F:$F,0))*((I22-H22)*24)),0))+(IF(COUNT(H24:I24)=2,(INDEX(Config!$I:$I,MATCH(Rota!$A23,Config!$F:$F,0))*((I24-H24)*24)),0))+(IF(COUNT(H26:I26)=2,(INDEX(Config!$I:$I,MATCH(Rota!$A25,Config!$F:$F,0))*((I26-H26)*24)),0))+(IF(COUNT(H28:I28)=2,(INDEX(Config!$I:$I,MATCH(Rota!$A27,Config!$F:$F,0))*((I28-H28)*24)),0))+(IF(COUNT(H30:I30)=2,(INDEX(Config!$I:$I,MATCH(Rota!$A29,Config!$F:$F,0))*((I30-H30)*24)),0))+(IF(COUNT(H32:I32)=2,(INDEX(Config!$I:$I,MATCH(Rota!$A31,Config!$F:$F,0))*((I32-H32)*24)),0))+(IF(COUNT(H34:I34)=2,(INDEX(Config!$I:$I,MATCH(Rota!$A33,Config!$F:$F,0))*((I34-H34)*24)),0))+(IF(COUNT(H36:I36)=2,(INDEX(Config!$I:$I,MATCH(Rota!$A35,Config!$F:$F,0))*((I36-H36)*24)),0))+(IF(COUNT(H38:I38)=2,(INDEX(Config!$I:$I,MATCH(Rota!$A37,Config!$F:$F,0))*((I38-H38)*24)),0))+(IF(COUNT(H40:I40)=2,(INDEX(Config!$I:$I,MATCH(Rota!$A39,Config!$F:$F,0))*((I40-H40)*24)),0))</f>
        <v>216.97531000000026</v>
      </c>
      <c r="I9" s="59"/>
      <c r="J9" s="59">
        <f>1.1*1.03*1.1207*(IF(COUNT(J12:K12)=2,(INDEX(Config!$I:$I,MATCH(Rota!$A11,Config!$F:$F,0))*((K12-J12)*24)),0))+(IF(COUNT(J14:K14)=2,(INDEX(Config!$I:$I,MATCH(Rota!$A13,Config!$F:$F,0))*((K14-J14)*24)),0))+(IF(COUNT(J16:K16)=2,(INDEX(Config!$I:$I,MATCH(Rota!$A15,Config!$F:$F,0))*((K16-J16)*24)),0))+(IF(COUNT(J18:K18)=2,(INDEX(Config!$I:$I,MATCH(Rota!$A17,Config!$F:$F,0))*((K18-J18)*24)),0))+(IF(COUNT(J20:K20)=2,(INDEX(Config!$I:$I,MATCH(Rota!$A19,Config!$F:$F,0))*((K20-J20)*24)),0))+(IF(COUNT(J22:K22)=2,(INDEX(Config!$I:$I,MATCH(Rota!$A21,Config!$F:$F,0))*((K22-J22)*24)),0))+(IF(COUNT(J24:K24)=2,(INDEX(Config!$I:$I,MATCH(Rota!$A23,Config!$F:$F,0))*((K24-J24)*24)),0))+(IF(COUNT(J26:K26)=2,(INDEX(Config!$I:$I,MATCH(Rota!$A25,Config!$F:$F,0))*((K26-J26)*24)),0))+(IF(COUNT(J28:K28)=2,(INDEX(Config!$I:$I,MATCH(Rota!$A27,Config!$F:$F,0))*((K28-J28)*24)),0))+(IF(COUNT(J30:K30)=2,(INDEX(Config!$I:$I,MATCH(Rota!$A29,Config!$F:$F,0))*((K30-J30)*24)),0))+(IF(COUNT(J32:K32)=2,(INDEX(Config!$I:$I,MATCH(Rota!$A31,Config!$F:$F,0))*((K32-J32)*24)),0))+(IF(COUNT(J34:K34)=2,(INDEX(Config!$I:$I,MATCH(Rota!$A33,Config!$F:$F,0))*((K34-J34)*24)),0))+(IF(COUNT(J36:K36)=2,(INDEX(Config!$I:$I,MATCH(Rota!$A35,Config!$F:$F,0))*((K36-J36)*24)),0))+(IF(COUNT(J38:K38)=2,(INDEX(Config!$I:$I,MATCH(Rota!$A37,Config!$F:$F,0))*((K38-J38)*24)),0))+(IF(COUNT(J40:K40)=2,(INDEX(Config!$I:$I,MATCH(Rota!$A39,Config!$F:$F,0))*((K40-J40)*24)),0))</f>
        <v>99.000000000000099</v>
      </c>
      <c r="K9" s="59"/>
      <c r="L9" s="59">
        <f>1.1*1.03*1.1207*(IF(COUNT(L12:M12)=2,(INDEX(Config!$I:$I,MATCH(Rota!$A11,Config!$F:$F,0))*((M12-L12)*24)),0))+(IF(COUNT(L14:M14)=2,(INDEX(Config!$I:$I,MATCH(Rota!$A13,Config!$F:$F,0))*((M14-L14)*24)),0))+(IF(COUNT(L16:M16)=2,(INDEX(Config!$I:$I,MATCH(Rota!$A15,Config!$F:$F,0))*((M16-L16)*24)),0))+(IF(COUNT(L18:M18)=2,(INDEX(Config!$I:$I,MATCH(Rota!$A17,Config!$F:$F,0))*((M18-L18)*24)),0))+(IF(COUNT(L20:M20)=2,(INDEX(Config!$I:$I,MATCH(Rota!$A19,Config!$F:$F,0))*((M20-L20)*24)),0))+(IF(COUNT(L22:M22)=2,(INDEX(Config!$I:$I,MATCH(Rota!$A21,Config!$F:$F,0))*((M22-L22)*24)),0))+(IF(COUNT(L24:M24)=2,(INDEX(Config!$I:$I,MATCH(Rota!$A23,Config!$F:$F,0))*((M24-L24)*24)),0))+(IF(COUNT(L26:M26)=2,(INDEX(Config!$I:$I,MATCH(Rota!$A25,Config!$F:$F,0))*((M26-L26)*24)),0))+(IF(COUNT(L28:M28)=2,(INDEX(Config!$I:$I,MATCH(Rota!$A27,Config!$F:$F,0))*((M28-L28)*24)),0))+(IF(COUNT(L30:M30)=2,(INDEX(Config!$I:$I,MATCH(Rota!$A29,Config!$F:$F,0))*((M30-L30)*24)),0))+(IF(COUNT(L32:M32)=2,(INDEX(Config!$I:$I,MATCH(Rota!$A31,Config!$F:$F,0))*((M32-L32)*24)),0))+(IF(COUNT(L34:M34)=2,(INDEX(Config!$I:$I,MATCH(Rota!$A33,Config!$F:$F,0))*((M34-L34)*24)),0))+(IF(COUNT(L36:M36)=2,(INDEX(Config!$I:$I,MATCH(Rota!$A35,Config!$F:$F,0))*((M36-L36)*24)),0))+(IF(COUNT(L38:M38)=2,(INDEX(Config!$I:$I,MATCH(Rota!$A37,Config!$F:$F,0))*((M38-L38)*24)),0))+(IF(COUNT(L40:M40)=2,(INDEX(Config!$I:$I,MATCH(Rota!$A39,Config!$F:$F,0))*((M40-L40)*24)),0))</f>
        <v>114.27777900000017</v>
      </c>
      <c r="M9" s="59"/>
      <c r="N9" s="59">
        <f>1.1*1.03*1.1207*(IF(COUNT(N12:O12)=2,(INDEX(Config!$I:$I,MATCH(Rota!$A11,Config!$F:$F,0))*((O12-N12)*24)),0))+(IF(COUNT(N14:O14)=2,(INDEX(Config!$I:$I,MATCH(Rota!$A13,Config!$F:$F,0))*((O14-N14)*24)),0))+(IF(COUNT(N16:O16)=2,(INDEX(Config!$I:$I,MATCH(Rota!$A15,Config!$F:$F,0))*((O16-N16)*24)),0))+(IF(COUNT(N18:O18)=2,(INDEX(Config!$I:$I,MATCH(Rota!$A17,Config!$F:$F,0))*((O18-N18)*24)),0))+(IF(COUNT(N20:O20)=2,(INDEX(Config!$I:$I,MATCH(Rota!$A19,Config!$F:$F,0))*((O20-N20)*24)),0))+(IF(COUNT(N22:O22)=2,(INDEX(Config!$I:$I,MATCH(Rota!$A21,Config!$F:$F,0))*((O22-N22)*24)),0))+(IF(COUNT(N24:O24)=2,(INDEX(Config!$I:$I,MATCH(Rota!$A23,Config!$F:$F,0))*((O24-N24)*24)),0))+(IF(COUNT(N26:O26)=2,(INDEX(Config!$I:$I,MATCH(Rota!$A25,Config!$F:$F,0))*((O26-N26)*24)),0))+(IF(COUNT(N28:O28)=2,(INDEX(Config!$I:$I,MATCH(Rota!$A27,Config!$F:$F,0))*((O28-N28)*24)),0))+(IF(COUNT(N30:O30)=2,(INDEX(Config!$I:$I,MATCH(Rota!$A29,Config!$F:$F,0))*((O30-N30)*24)),0))+(IF(COUNT(N32:O32)=2,(INDEX(Config!$I:$I,MATCH(Rota!$A31,Config!$F:$F,0))*((O32-N32)*24)),0))+(IF(COUNT(N34:O34)=2,(INDEX(Config!$I:$I,MATCH(Rota!$A33,Config!$F:$F,0))*((O34-N34)*24)),0))+(IF(COUNT(N36:O36)=2,(INDEX(Config!$I:$I,MATCH(Rota!$A35,Config!$F:$F,0))*((O36-N36)*24)),0))+(IF(COUNT(N38:O38)=2,(INDEX(Config!$I:$I,MATCH(Rota!$A37,Config!$F:$F,0))*((O38-N38)*24)),0))+(IF(COUNT(N40:O40)=2,(INDEX(Config!$I:$I,MATCH(Rota!$A39,Config!$F:$F,0))*((O40-N40)*24)),0))</f>
        <v>114.27777900000021</v>
      </c>
      <c r="O9" s="59"/>
      <c r="P9" s="59">
        <f>1.1*1.03*1.1207*(IF(COUNT(P12:Q12)=2,(INDEX(Config!$I:$I,MATCH(Rota!$A11,Config!$F:$F,0))*((Q12-P12)*24)),0))+(IF(COUNT(P14:Q14)=2,(INDEX(Config!$I:$I,MATCH(Rota!$A13,Config!$F:$F,0))*((Q14-P14)*24)),0))+(IF(COUNT(P16:Q16)=2,(INDEX(Config!$I:$I,MATCH(Rota!$A15,Config!$F:$F,0))*((Q16-P16)*24)),0))+(IF(COUNT(P18:Q18)=2,(INDEX(Config!$I:$I,MATCH(Rota!$A17,Config!$F:$F,0))*((Q18-P18)*24)),0))+(IF(COUNT(P20:Q20)=2,(INDEX(Config!$I:$I,MATCH(Rota!$A19,Config!$F:$F,0))*((Q20-P20)*24)),0))+(IF(COUNT(P22:Q22)=2,(INDEX(Config!$I:$I,MATCH(Rota!$A21,Config!$F:$F,0))*((Q22-P22)*24)),0))+(IF(COUNT(P24:Q24)=2,(INDEX(Config!$I:$I,MATCH(Rota!$A23,Config!$F:$F,0))*((Q24-P24)*24)),0))+(IF(COUNT(P26:Q26)=2,(INDEX(Config!$I:$I,MATCH(Rota!$A25,Config!$F:$F,0))*((Q26-P26)*24)),0))+(IF(COUNT(P28:Q28)=2,(INDEX(Config!$I:$I,MATCH(Rota!$A27,Config!$F:$F,0))*((Q28-P28)*24)),0))+(IF(COUNT(P30:Q30)=2,(INDEX(Config!$I:$I,MATCH(Rota!$A29,Config!$F:$F,0))*((Q30-P30)*24)),0))+(IF(COUNT(P32:Q32)=2,(INDEX(Config!$I:$I,MATCH(Rota!$A31,Config!$F:$F,0))*((Q32-P32)*24)),0))+(IF(COUNT(P34:Q34)=2,(INDEX(Config!$I:$I,MATCH(Rota!$A33,Config!$F:$F,0))*((Q34-P34)*24)),0))+(IF(COUNT(P36:Q36)=2,(INDEX(Config!$I:$I,MATCH(Rota!$A35,Config!$F:$F,0))*((Q36-P36)*24)),0))+(IF(COUNT(P38:Q38)=2,(INDEX(Config!$I:$I,MATCH(Rota!$A37,Config!$F:$F,0))*((Q38-P38)*24)),0))+(IF(COUNT(P40:Q40)=2,(INDEX(Config!$I:$I,MATCH(Rota!$A39,Config!$F:$F,0))*((Q40-P40)*24)),0))</f>
        <v>99.000000000000099</v>
      </c>
      <c r="Q9" s="59"/>
      <c r="R9" s="59">
        <f>1.1*1.03*1.1207*(IF(COUNT(R12:S12)=2,(INDEX(Config!$I:$I,MATCH(Rota!$A11,Config!$F:$F,0))*((S12-R12)*24)),0))+(IF(COUNT(R14:S14)=2,(INDEX(Config!$I:$I,MATCH(Rota!$A13,Config!$F:$F,0))*((S14-R14)*24)),0))+(IF(COUNT(R16:S16)=2,(INDEX(Config!$I:$I,MATCH(Rota!$A15,Config!$F:$F,0))*((S16-R16)*24)),0))+(IF(COUNT(R18:S18)=2,(INDEX(Config!$I:$I,MATCH(Rota!$A17,Config!$F:$F,0))*((S18-R18)*24)),0))+(IF(COUNT(R20:S20)=2,(INDEX(Config!$I:$I,MATCH(Rota!$A19,Config!$F:$F,0))*((S20-R20)*24)),0))+(IF(COUNT(R22:S22)=2,(INDEX(Config!$I:$I,MATCH(Rota!$A21,Config!$F:$F,0))*((S22-R22)*24)),0))+(IF(COUNT(R24:S24)=2,(INDEX(Config!$I:$I,MATCH(Rota!$A23,Config!$F:$F,0))*((S24-R24)*24)),0))+(IF(COUNT(R26:S26)=2,(INDEX(Config!$I:$I,MATCH(Rota!$A25,Config!$F:$F,0))*((S26-R26)*24)),0))+(IF(COUNT(R28:S28)=2,(INDEX(Config!$I:$I,MATCH(Rota!$A27,Config!$F:$F,0))*((S28-R28)*24)),0))+(IF(COUNT(R30:S30)=2,(INDEX(Config!$I:$I,MATCH(Rota!$A29,Config!$F:$F,0))*((S30-R30)*24)),0))+(IF(COUNT(R32:S32)=2,(INDEX(Config!$I:$I,MATCH(Rota!$A31,Config!$F:$F,0))*((S32-R32)*24)),0))+(IF(COUNT(R34:S34)=2,(INDEX(Config!$I:$I,MATCH(Rota!$A33,Config!$F:$F,0))*((S34-R34)*24)),0))+(IF(COUNT(R36:S36)=2,(INDEX(Config!$I:$I,MATCH(Rota!$A35,Config!$F:$F,0))*((S36-R36)*24)),0))+(IF(COUNT(R38:S38)=2,(INDEX(Config!$I:$I,MATCH(Rota!$A37,Config!$F:$F,0))*((S38-R38)*24)),0))+(IF(COUNT(R40:S40)=2,(INDEX(Config!$I:$I,MATCH(Rota!$A39,Config!$F:$F,0))*((S40-R40)*24)),0))</f>
        <v>114.27777900000019</v>
      </c>
      <c r="S9" s="60"/>
      <c r="T9" s="99"/>
      <c r="U9" s="95"/>
      <c r="V9" s="95"/>
      <c r="W9" s="95"/>
      <c r="X9" s="96"/>
      <c r="Y9" s="11"/>
    </row>
    <row r="10" spans="1:30" ht="20.100000000000001" customHeight="1">
      <c r="A10" s="88" t="s">
        <v>13</v>
      </c>
      <c r="B10" s="88"/>
      <c r="C10" s="88"/>
      <c r="D10" s="44">
        <f>D9/D7</f>
        <v>0.3</v>
      </c>
      <c r="E10" s="45">
        <f>IFERROR((E9/E7),0)</f>
        <v>8.7005690678260889E-2</v>
      </c>
      <c r="F10" s="67">
        <f>IFERROR(F9/F7,"")</f>
        <v>0.13755658583333352</v>
      </c>
      <c r="G10" s="67"/>
      <c r="H10" s="67">
        <f t="shared" ref="H10" si="4">IFERROR(H9/H7,"")</f>
        <v>0.16690408461538481</v>
      </c>
      <c r="I10" s="67"/>
      <c r="J10" s="67">
        <f t="shared" ref="J10" si="5">IFERROR(J9/J7,"")</f>
        <v>6.827586206896559E-2</v>
      </c>
      <c r="K10" s="67"/>
      <c r="L10" s="67">
        <f t="shared" ref="L10" si="6">IFERROR(L9/L7,"")</f>
        <v>7.6185186000000113E-2</v>
      </c>
      <c r="M10" s="67"/>
      <c r="N10" s="67">
        <f t="shared" ref="N10" si="7">IFERROR(N9/N7,"")</f>
        <v>5.574525804878059E-2</v>
      </c>
      <c r="O10" s="67"/>
      <c r="P10" s="67">
        <f t="shared" ref="P10" si="8">IFERROR(P9/P7,"")</f>
        <v>4.5000000000000047E-2</v>
      </c>
      <c r="Q10" s="67"/>
      <c r="R10" s="67">
        <f t="shared" ref="R10" si="9">IFERROR(R9/R7,"")</f>
        <v>6.3487655000000101E-2</v>
      </c>
      <c r="S10" s="90"/>
      <c r="T10" s="99"/>
      <c r="U10" s="95"/>
      <c r="V10" s="95"/>
      <c r="W10" s="95"/>
      <c r="X10" s="96"/>
      <c r="Y10" s="11"/>
    </row>
    <row r="11" spans="1:30" ht="24.95" customHeight="1">
      <c r="A11" s="62" t="s">
        <v>14</v>
      </c>
      <c r="B11" s="62"/>
      <c r="C11" s="62"/>
      <c r="D11" s="62"/>
      <c r="E11" s="72" t="str">
        <f>IFERROR(INDEX(Settings!D:D,MATCH(Rota!A11,Settings!C:C,0)),"")</f>
        <v>FOH</v>
      </c>
      <c r="F11" s="74" t="s">
        <v>15</v>
      </c>
      <c r="G11" s="71"/>
      <c r="H11" s="81" t="s">
        <v>16</v>
      </c>
      <c r="I11" s="75"/>
      <c r="J11" s="74" t="s">
        <v>16</v>
      </c>
      <c r="K11" s="71"/>
      <c r="L11" s="74" t="s">
        <v>15</v>
      </c>
      <c r="M11" s="71"/>
      <c r="N11" s="74" t="s">
        <v>16</v>
      </c>
      <c r="O11" s="71"/>
      <c r="P11" s="81"/>
      <c r="Q11" s="75"/>
      <c r="R11" s="74" t="s">
        <v>15</v>
      </c>
      <c r="S11" s="71"/>
      <c r="T11" s="92" t="str">
        <f>IF(OR(((G12-F12)*24)&gt;12,((I12-H12)*24)&gt;12,((K12-J12)*24)&gt;12,((M12-L12)*24)&gt;12,((O12-N12)*24&gt;12),((Q12-P12)*24)&gt;12,((S12-R12)*24)&gt;12),"!","")</f>
        <v>!</v>
      </c>
      <c r="U11" s="92" t="str">
        <f>IF(COUNTBLANK(F11:S11)&lt;9,"!","")</f>
        <v>!</v>
      </c>
      <c r="V11" s="92" t="str">
        <f>IF(OR(AND(H12&lt;&gt;"",G12&lt;&gt;"",(SUM($H$5,H12)-SUM($F$5,G12))&lt;8/24),AND(J12&lt;&gt;"",I12&lt;&gt;"",(SUM($J$5,J12)-SUM($H$5,I12))&lt;8/24),AND(L12&lt;&gt;"",K12&lt;&gt;"",(SUM($L$5,L12)-SUM($J$5,K12))&lt;8/24),AND(N12&lt;&gt;"",M12&lt;&gt;"",(SUM($N$5,N12)-SUM($L$5,M12))&lt;8/24),AND(P12&lt;&gt;"",O12&lt;&gt;"",(SUM($P$5,P12)-SUM($N$5,O12))&lt;8/24),AND(R12&lt;&gt;"",Q12&lt;&gt;"",(SUM($R$5,R12)-SUM($P$5,Q12))&lt;8/24)),"!","")</f>
        <v/>
      </c>
      <c r="W11" s="92" t="str">
        <f>IF(A12&lt;C12,"!","")</f>
        <v/>
      </c>
      <c r="X11" s="97" t="str">
        <f>IF(C12&lt;A12,"!","")</f>
        <v>!</v>
      </c>
      <c r="Y11" s="46" t="str">
        <f>IF(OR(AND(H12&lt;&gt;"",G12&lt;&gt;"",(SUM(H5,H12)-SUM(F5,G12))&lt;8/24),AND(J12&lt;&gt;"",I12&lt;&gt;"",(SUM(J5,J12)-SUM(H5,I12))&lt;8/24),AND(L12&lt;&gt;"",K12&lt;&gt;"",(SUM(L5,L12)-SUM(J5,K12))&lt;8/24),AND(N12&lt;&gt;"",M12&lt;&gt;"",(SUM(N5,N12)-SUM(L5,M12))&lt;8/24),AND(P12&lt;&gt;"",O12&lt;&gt;"",(SUM(P5,P12)-SUM(N5,O12))&lt;8/24),AND(R12&lt;&gt;"",Q12&lt;&gt;"",(SUM(R5,R12)-SUM(P5,Q12))&lt;8/24)),"!","")</f>
        <v/>
      </c>
      <c r="Z11" s="64" t="s">
        <v>17</v>
      </c>
      <c r="AA11" s="64"/>
      <c r="AB11" s="64"/>
      <c r="AC11" s="36"/>
      <c r="AD11" s="36"/>
    </row>
    <row r="12" spans="1:30" ht="18" customHeight="1">
      <c r="A12" s="47">
        <f>IFERROR(MROUND(((IF(COUNT(F12:G12)=2,(G12-F12),0))+(IF(COUNT(H12:I12)=2,(I12-H12),0))+(IF(COUNT(J12:K12)=2,(K12-J12),0))+(IF(COUNT(L12:M12)=2,(M12-L12),0))+(IF(COUNT(N12:O12)=2,(O12-N12),0))+(IF(COUNT(P12:Q12)=2,(Q12-P12),0))+(IF(COUNT(R12:S12)=2,(S12-R12),0)))*24,0.1),0)</f>
        <v>50</v>
      </c>
      <c r="B12" s="47" t="s">
        <v>18</v>
      </c>
      <c r="C12" s="48">
        <f>IFERROR(INDEX(Settings!E:E,MATCH(Rota!A11,Settings!C:C,0)),0)</f>
        <v>40</v>
      </c>
      <c r="D12" s="49">
        <f>1.1*1.03*1.1207*IFERROR(INDEX(Settings!F:F,MATCH(Rota!A11,Settings!C:C,0))*A12,0)</f>
        <v>634.87655000000007</v>
      </c>
      <c r="E12" s="73"/>
      <c r="F12" s="5">
        <v>0.41666666666666652</v>
      </c>
      <c r="G12" s="6">
        <v>0.95833333333333393</v>
      </c>
      <c r="H12" s="5">
        <v>0.47916666666666646</v>
      </c>
      <c r="I12" s="6">
        <v>0.89583333333333381</v>
      </c>
      <c r="J12" s="5"/>
      <c r="K12" s="6"/>
      <c r="L12" s="5">
        <v>0.41666666666666652</v>
      </c>
      <c r="M12" s="6">
        <v>0.79166666666666696</v>
      </c>
      <c r="N12" s="5">
        <v>0.49999999999999978</v>
      </c>
      <c r="O12" s="6">
        <v>0.87500000000000044</v>
      </c>
      <c r="P12" s="5"/>
      <c r="Q12" s="6"/>
      <c r="R12" s="5">
        <v>0.45833333333333315</v>
      </c>
      <c r="S12" s="6">
        <v>0.8333333333333337</v>
      </c>
      <c r="T12" s="93"/>
      <c r="U12" s="93"/>
      <c r="V12" s="93"/>
      <c r="W12" s="93"/>
      <c r="X12" s="98"/>
      <c r="Y12" s="46"/>
      <c r="Z12" s="64"/>
      <c r="AA12" s="64"/>
      <c r="AB12" s="64"/>
    </row>
    <row r="13" spans="1:30" ht="24.95" customHeight="1">
      <c r="A13" s="62" t="s">
        <v>19</v>
      </c>
      <c r="B13" s="62"/>
      <c r="C13" s="62"/>
      <c r="D13" s="62"/>
      <c r="E13" s="72" t="str">
        <f>IFERROR(INDEX(Settings!D:D,MATCH(Rota!A13,Settings!C:C,0)),"")</f>
        <v>BOH</v>
      </c>
      <c r="F13" s="76"/>
      <c r="G13" s="75"/>
      <c r="H13" s="70" t="s">
        <v>20</v>
      </c>
      <c r="I13" s="71"/>
      <c r="J13" s="70" t="s">
        <v>21</v>
      </c>
      <c r="K13" s="71"/>
      <c r="L13" s="70"/>
      <c r="M13" s="71"/>
      <c r="N13" s="70"/>
      <c r="O13" s="71"/>
      <c r="P13" s="70" t="s">
        <v>21</v>
      </c>
      <c r="Q13" s="71"/>
      <c r="R13" s="81"/>
      <c r="S13" s="75"/>
      <c r="T13" s="92" t="str">
        <f t="shared" ref="T13" si="10">IF(OR(((G14-F14)*24)&gt;12,((I14-H14)*24)&gt;12,((K14-J14)*24)&gt;12,((M14-L14)*24)&gt;12,((O14-N14)*24&gt;12),((Q14-P14)*24)&gt;12,((S14-R14)*24)&gt;12),"!","")</f>
        <v/>
      </c>
      <c r="U13" s="92" t="str">
        <f>IF(COUNTBLANK(F13:S13)&lt;9,"!","")</f>
        <v/>
      </c>
      <c r="V13" s="92" t="str">
        <f>IF(OR(AND(H14&lt;&gt;"",G14&lt;&gt;"",(SUM($H$5,H14)-SUM($F$5,G14))&lt;8/24),AND(J14&lt;&gt;"",I14&lt;&gt;"",(SUM($J$5,J14)-SUM($H$5,I14))&lt;8/24),AND(L14&lt;&gt;"",K14&lt;&gt;"",(SUM($L$5,L14)-SUM($J$5,K14))&lt;8/24),AND(N14&lt;&gt;"",M14&lt;&gt;"",(SUM($N$5,N14)-SUM($L$5,M14))&lt;8/24),AND(P14&lt;&gt;"",O14&lt;&gt;"",(SUM($P$5,P14)-SUM($N$5,O14))&lt;8/24),AND(R14&lt;&gt;"",Q14&lt;&gt;"",(SUM($R$5,R14)-SUM($P$5,Q14))&lt;8/24)),"!","")</f>
        <v/>
      </c>
      <c r="W13" s="92" t="str">
        <f>IF(A14&lt;C14,"!","")</f>
        <v/>
      </c>
      <c r="X13" s="97" t="str">
        <f>IF(C14&lt;A14,"!","")</f>
        <v>!</v>
      </c>
      <c r="Y13" s="46"/>
      <c r="Z13" s="63" t="s">
        <v>22</v>
      </c>
      <c r="AA13" s="63"/>
      <c r="AB13" s="63"/>
    </row>
    <row r="14" spans="1:30" ht="18" customHeight="1">
      <c r="A14" s="47">
        <f>IFERROR(MROUND(((IF(COUNT(F14:G14)=2,(G14-F14),0))+(IF(COUNT(H14:I14)=2,(I14-H14),0))+(IF(COUNT(J14:K14)=2,(K14-J14),0))+(IF(COUNT(L14:M14)=2,(M14-L14),0))+(IF(COUNT(N14:O14)=2,(O14-N14),0))+(IF(COUNT(P14:Q14)=2,(Q14-P14),0))+(IF(COUNT(R14:S14)=2,(S14-R14),0)))*24,0.1),0)</f>
        <v>32</v>
      </c>
      <c r="B14" s="47" t="s">
        <v>18</v>
      </c>
      <c r="C14" s="48">
        <f>IFERROR(INDEX(Settings!E:E,MATCH(Rota!A13,Settings!C:C,0)),0)</f>
        <v>30</v>
      </c>
      <c r="D14" s="49">
        <f>1.1*1.03*1.1207*IFERROR(INDEX(Settings!F:F,MATCH(Rota!A13,Settings!C:C,0))*A14,0)</f>
        <v>365.68889280000008</v>
      </c>
      <c r="E14" s="73"/>
      <c r="F14" s="5"/>
      <c r="G14" s="6"/>
      <c r="H14" s="5">
        <v>0.29166666666666663</v>
      </c>
      <c r="I14" s="6">
        <v>0.70833333333333348</v>
      </c>
      <c r="J14" s="5">
        <v>0.37499999999999989</v>
      </c>
      <c r="K14" s="6">
        <v>0.8333333333333337</v>
      </c>
      <c r="L14" s="5"/>
      <c r="M14" s="6"/>
      <c r="N14" s="5"/>
      <c r="O14" s="6"/>
      <c r="P14" s="5">
        <v>0.37499999999999989</v>
      </c>
      <c r="Q14" s="6">
        <v>0.8333333333333337</v>
      </c>
      <c r="R14" s="5"/>
      <c r="S14" s="6"/>
      <c r="T14" s="93"/>
      <c r="U14" s="93"/>
      <c r="V14" s="93"/>
      <c r="W14" s="93"/>
      <c r="X14" s="98"/>
      <c r="Y14" s="50"/>
      <c r="Z14" s="63"/>
      <c r="AA14" s="63"/>
      <c r="AB14" s="63"/>
    </row>
    <row r="15" spans="1:30" ht="24.95" customHeight="1">
      <c r="A15" s="62" t="s">
        <v>23</v>
      </c>
      <c r="B15" s="62"/>
      <c r="C15" s="62"/>
      <c r="D15" s="62"/>
      <c r="E15" s="72">
        <f>IFERROR(INDEX(Settings!D:D,MATCH(Rota!A15,Settings!C:C,0)),"")</f>
        <v>0</v>
      </c>
      <c r="F15" s="76"/>
      <c r="G15" s="75"/>
      <c r="H15" s="70"/>
      <c r="I15" s="71"/>
      <c r="J15" s="70"/>
      <c r="K15" s="71"/>
      <c r="L15" s="70"/>
      <c r="M15" s="71"/>
      <c r="N15" s="70"/>
      <c r="O15" s="71"/>
      <c r="P15" s="70"/>
      <c r="Q15" s="71"/>
      <c r="R15" s="70"/>
      <c r="S15" s="75"/>
      <c r="T15" s="92" t="str">
        <f t="shared" ref="T15" si="11">IF(OR(((G16-F16)*24)&gt;12,((I16-H16)*24)&gt;12,((K16-J16)*24)&gt;12,((M16-L16)*24)&gt;12,((O16-N16)*24&gt;12),((Q16-P16)*24)&gt;12,((S16-R16)*24)&gt;12),"!","")</f>
        <v/>
      </c>
      <c r="U15" s="92" t="str">
        <f t="shared" ref="U15" si="12">IF(COUNTBLANK(F15:S15)&lt;9,"!","")</f>
        <v/>
      </c>
      <c r="V15" s="92" t="str">
        <f t="shared" ref="V15" si="13">IF(OR(AND(H16&lt;&gt;"",G16&lt;&gt;"",(SUM($H$5,H16)-SUM($F$5,G16))&lt;8/24),AND(J16&lt;&gt;"",I16&lt;&gt;"",(SUM($J$5,J16)-SUM($H$5,I16))&lt;8/24),AND(L16&lt;&gt;"",K16&lt;&gt;"",(SUM($L$5,L16)-SUM($J$5,K16))&lt;8/24),AND(N16&lt;&gt;"",M16&lt;&gt;"",(SUM($N$5,N16)-SUM($L$5,M16))&lt;8/24),AND(P16&lt;&gt;"",O16&lt;&gt;"",(SUM($P$5,P16)-SUM($N$5,O16))&lt;8/24),AND(R16&lt;&gt;"",Q16&lt;&gt;"",(SUM($R$5,R16)-SUM($P$5,Q16))&lt;8/24)),"!","")</f>
        <v/>
      </c>
      <c r="W15" s="92" t="str">
        <f t="shared" ref="W15" si="14">IF(A16&lt;C16,"!","")</f>
        <v/>
      </c>
      <c r="X15" s="97" t="str">
        <f t="shared" ref="X15" si="15">IF(C16&lt;A16,"!","")</f>
        <v/>
      </c>
      <c r="Y15" s="50"/>
      <c r="Z15" s="63"/>
      <c r="AA15" s="63"/>
      <c r="AB15" s="63"/>
    </row>
    <row r="16" spans="1:30" ht="18" customHeight="1">
      <c r="A16" s="47">
        <f>IFERROR(MROUND(((IF(COUNT(F16:G16)=2,(G16-F16),0))+(IF(COUNT(H16:I16)=2,(I16-H16),0))+(IF(COUNT(J16:K16)=2,(K16-J16),0))+(IF(COUNT(L16:M16)=2,(M16-L16),0))+(IF(COUNT(N16:O16)=2,(O16-N16),0))+(IF(COUNT(P16:Q16)=2,(Q16-P16),0))+(IF(COUNT(R16:S16)=2,(S16-R16),0)))*24,0.1),0)</f>
        <v>0</v>
      </c>
      <c r="B16" s="47" t="s">
        <v>18</v>
      </c>
      <c r="C16" s="48">
        <f>IFERROR(INDEX(Settings!E:E,MATCH(Rota!A15,Settings!C:C,0)),0)</f>
        <v>0</v>
      </c>
      <c r="D16" s="49">
        <f>1.1*1.03*1.1207*IFERROR(INDEX(Settings!F:F,MATCH(Rota!A15,Settings!C:C,0))*A16,0)</f>
        <v>0</v>
      </c>
      <c r="E16" s="73"/>
      <c r="F16" s="5"/>
      <c r="G16" s="6"/>
      <c r="H16" s="5"/>
      <c r="I16" s="6"/>
      <c r="J16" s="5"/>
      <c r="K16" s="6"/>
      <c r="L16" s="5"/>
      <c r="M16" s="6"/>
      <c r="N16" s="5"/>
      <c r="O16" s="6"/>
      <c r="P16" s="5"/>
      <c r="Q16" s="6"/>
      <c r="R16" s="5"/>
      <c r="S16" s="6"/>
      <c r="T16" s="93"/>
      <c r="U16" s="93"/>
      <c r="V16" s="93"/>
      <c r="W16" s="93"/>
      <c r="X16" s="98"/>
      <c r="Y16" s="50"/>
      <c r="Z16" s="63"/>
      <c r="AA16" s="63"/>
      <c r="AB16" s="63"/>
    </row>
    <row r="17" spans="1:28" ht="24.95" customHeight="1">
      <c r="A17" s="62" t="s">
        <v>23</v>
      </c>
      <c r="B17" s="62"/>
      <c r="C17" s="62"/>
      <c r="D17" s="62"/>
      <c r="E17" s="72">
        <f>IFERROR(INDEX(Settings!D:D,MATCH(Rota!A17,Settings!C:C,0)),"")</f>
        <v>0</v>
      </c>
      <c r="F17" s="76"/>
      <c r="G17" s="75"/>
      <c r="H17" s="70"/>
      <c r="I17" s="71"/>
      <c r="J17" s="70"/>
      <c r="K17" s="71"/>
      <c r="L17" s="70"/>
      <c r="M17" s="71"/>
      <c r="N17" s="70"/>
      <c r="O17" s="71"/>
      <c r="P17" s="70"/>
      <c r="Q17" s="71"/>
      <c r="R17" s="70"/>
      <c r="S17" s="75"/>
      <c r="T17" s="92" t="str">
        <f t="shared" ref="T17" si="16">IF(OR(((G18-F18)*24)&gt;12,((I18-H18)*24)&gt;12,((K18-J18)*24)&gt;12,((M18-L18)*24)&gt;12,((O18-N18)*24&gt;12),((Q18-P18)*24)&gt;12,((S18-R18)*24)&gt;12),"!","")</f>
        <v/>
      </c>
      <c r="U17" s="92" t="str">
        <f t="shared" ref="U17" si="17">IF(COUNTBLANK(F17:S17)&lt;9,"!","")</f>
        <v/>
      </c>
      <c r="V17" s="92" t="str">
        <f>IF(OR(AND(H18&lt;&gt;"",G18&lt;&gt;"",(SUM($H$5,H18)-SUM($F$5,G18))&lt;8/24),AND(J18&lt;&gt;"",I18&lt;&gt;"",(SUM($J$5,J18)-SUM($H$5,I18))&lt;8/24),AND(L18&lt;&gt;"",K18&lt;&gt;"",(SUM($L$5,L18)-SUM($J$5,K18))&lt;8/24),AND(N18&lt;&gt;"",M18&lt;&gt;"",(SUM($N$5,N18)-SUM($L$5,M18))&lt;8/24),AND(P18&lt;&gt;"",O18&lt;&gt;"",(SUM($P$5,P18)-SUM($N$5,O18))&lt;8/24),AND(R18&lt;&gt;"",Q18&lt;&gt;"",(SUM($R$5,R18)-SUM($P$5,Q18))&lt;8/24)),"!","")</f>
        <v/>
      </c>
      <c r="W17" s="92" t="str">
        <f t="shared" ref="W17" si="18">IF(A18&lt;C18,"!","")</f>
        <v/>
      </c>
      <c r="X17" s="97" t="str">
        <f t="shared" ref="X17" si="19">IF(C18&lt;A18,"!","")</f>
        <v/>
      </c>
      <c r="Y17" s="50"/>
      <c r="Z17" s="63"/>
      <c r="AA17" s="63"/>
      <c r="AB17" s="63"/>
    </row>
    <row r="18" spans="1:28" ht="18" customHeight="1">
      <c r="A18" s="47">
        <f>IFERROR(MROUND(((IF(COUNT(F18:G18)=2,(G18-F18),0))+(IF(COUNT(H18:I18)=2,(I18-H18),0))+(IF(COUNT(J18:K18)=2,(K18-J18),0))+(IF(COUNT(L18:M18)=2,(M18-L18),0))+(IF(COUNT(N18:O18)=2,(O18-N18),0))+(IF(COUNT(P18:Q18)=2,(Q18-P18),0))+(IF(COUNT(R18:S18)=2,(S18-R18),0)))*24,0.1),0)</f>
        <v>0</v>
      </c>
      <c r="B18" s="47" t="s">
        <v>18</v>
      </c>
      <c r="C18" s="48">
        <f>IFERROR(INDEX(Settings!E:E,MATCH(Rota!A17,Settings!C:C,0)),0)</f>
        <v>0</v>
      </c>
      <c r="D18" s="49">
        <f>1.1*1.03*1.1207*IFERROR(INDEX(Settings!F:F,MATCH(Rota!A17,Settings!C:C,0))*A18,0)</f>
        <v>0</v>
      </c>
      <c r="E18" s="73"/>
      <c r="F18" s="5"/>
      <c r="G18" s="6"/>
      <c r="H18" s="5"/>
      <c r="I18" s="6"/>
      <c r="J18" s="5"/>
      <c r="K18" s="6"/>
      <c r="L18" s="5"/>
      <c r="M18" s="6"/>
      <c r="N18" s="5"/>
      <c r="O18" s="6"/>
      <c r="P18" s="5"/>
      <c r="Q18" s="6"/>
      <c r="R18" s="5"/>
      <c r="S18" s="6"/>
      <c r="T18" s="93"/>
      <c r="U18" s="93"/>
      <c r="V18" s="93"/>
      <c r="W18" s="93"/>
      <c r="X18" s="98"/>
      <c r="Y18" s="50"/>
      <c r="Z18" s="63"/>
      <c r="AA18" s="63"/>
      <c r="AB18" s="63"/>
    </row>
    <row r="19" spans="1:28" ht="24.95" customHeight="1">
      <c r="A19" s="62" t="s">
        <v>23</v>
      </c>
      <c r="B19" s="62"/>
      <c r="C19" s="62"/>
      <c r="D19" s="62"/>
      <c r="E19" s="72">
        <f>IFERROR(INDEX(Settings!D:D,MATCH(Rota!A19,Settings!C:C,0)),"")</f>
        <v>0</v>
      </c>
      <c r="F19" s="74"/>
      <c r="G19" s="71"/>
      <c r="H19" s="70"/>
      <c r="I19" s="71"/>
      <c r="J19" s="70"/>
      <c r="K19" s="71"/>
      <c r="L19" s="70"/>
      <c r="M19" s="71"/>
      <c r="N19" s="70"/>
      <c r="O19" s="71"/>
      <c r="P19" s="70"/>
      <c r="Q19" s="71"/>
      <c r="R19" s="70"/>
      <c r="S19" s="75"/>
      <c r="T19" s="92" t="str">
        <f t="shared" ref="T19" si="20">IF(OR(((G20-F20)*24)&gt;12,((I20-H20)*24)&gt;12,((K20-J20)*24)&gt;12,((M20-L20)*24)&gt;12,((O20-N20)*24&gt;12),((Q20-P20)*24)&gt;12,((S20-R20)*24)&gt;12),"!","")</f>
        <v/>
      </c>
      <c r="U19" s="92" t="str">
        <f t="shared" ref="U19" si="21">IF(COUNTBLANK(F19:S19)&lt;9,"!","")</f>
        <v/>
      </c>
      <c r="V19" s="92" t="str">
        <f t="shared" ref="V19" si="22">IF(OR(AND(H20&lt;&gt;"",G20&lt;&gt;"",(SUM($H$5,H20)-SUM($F$5,G20))&lt;8/24),AND(J20&lt;&gt;"",I20&lt;&gt;"",(SUM($J$5,J20)-SUM($H$5,I20))&lt;8/24),AND(L20&lt;&gt;"",K20&lt;&gt;"",(SUM($L$5,L20)-SUM($J$5,K20))&lt;8/24),AND(N20&lt;&gt;"",M20&lt;&gt;"",(SUM($N$5,N20)-SUM($L$5,M20))&lt;8/24),AND(P20&lt;&gt;"",O20&lt;&gt;"",(SUM($P$5,P20)-SUM($N$5,O20))&lt;8/24),AND(R20&lt;&gt;"",Q20&lt;&gt;"",(SUM($R$5,R20)-SUM($P$5,Q20))&lt;8/24)),"!","")</f>
        <v/>
      </c>
      <c r="W19" s="92" t="str">
        <f t="shared" ref="W19" si="23">IF(A20&lt;C20,"!","")</f>
        <v/>
      </c>
      <c r="X19" s="97" t="str">
        <f t="shared" ref="X19" si="24">IF(C20&lt;A20,"!","")</f>
        <v/>
      </c>
      <c r="Y19" s="50"/>
      <c r="Z19" s="63"/>
      <c r="AA19" s="63"/>
      <c r="AB19" s="63"/>
    </row>
    <row r="20" spans="1:28" ht="18" customHeight="1">
      <c r="A20" s="47">
        <f>IFERROR(MROUND(((IF(COUNT(F20:G20)=2,(G20-F20),0))+(IF(COUNT(H20:I20)=2,(I20-H20),0))+(IF(COUNT(J20:K20)=2,(K20-J20),0))+(IF(COUNT(L20:M20)=2,(M20-L20),0))+(IF(COUNT(N20:O20)=2,(O20-N20),0))+(IF(COUNT(P20:Q20)=2,(Q20-P20),0))+(IF(COUNT(R20:S20)=2,(S20-R20),0)))*24,0.1),0)</f>
        <v>0</v>
      </c>
      <c r="B20" s="47" t="s">
        <v>18</v>
      </c>
      <c r="C20" s="48">
        <f>IFERROR(INDEX(Settings!E:E,MATCH(Rota!A19,Settings!C:C,0)),0)</f>
        <v>0</v>
      </c>
      <c r="D20" s="49">
        <f>1.1*1.03*1.1207*IFERROR(INDEX(Settings!F:F,MATCH(Rota!A19,Settings!C:C,0))*A20,0)</f>
        <v>0</v>
      </c>
      <c r="E20" s="73"/>
      <c r="F20" s="5"/>
      <c r="G20" s="6"/>
      <c r="H20" s="5"/>
      <c r="I20" s="6"/>
      <c r="J20" s="5"/>
      <c r="K20" s="6"/>
      <c r="L20" s="5"/>
      <c r="M20" s="6"/>
      <c r="N20" s="5"/>
      <c r="O20" s="6"/>
      <c r="P20" s="5"/>
      <c r="Q20" s="6"/>
      <c r="R20" s="5"/>
      <c r="S20" s="6"/>
      <c r="T20" s="93"/>
      <c r="U20" s="93"/>
      <c r="V20" s="93"/>
      <c r="W20" s="93"/>
      <c r="X20" s="98"/>
      <c r="Y20" s="50"/>
      <c r="Z20" s="63"/>
      <c r="AA20" s="63"/>
      <c r="AB20" s="63"/>
    </row>
    <row r="21" spans="1:28" ht="24.95" customHeight="1">
      <c r="A21" s="62" t="s">
        <v>23</v>
      </c>
      <c r="B21" s="62"/>
      <c r="C21" s="62"/>
      <c r="D21" s="62"/>
      <c r="E21" s="72">
        <f>IFERROR(INDEX(Settings!D:D,MATCH(Rota!A21,Settings!C:C,0)),"")</f>
        <v>0</v>
      </c>
      <c r="F21" s="74"/>
      <c r="G21" s="71"/>
      <c r="H21" s="70"/>
      <c r="I21" s="71"/>
      <c r="J21" s="70"/>
      <c r="K21" s="71"/>
      <c r="L21" s="70"/>
      <c r="M21" s="71"/>
      <c r="N21" s="70"/>
      <c r="O21" s="71"/>
      <c r="P21" s="70"/>
      <c r="Q21" s="71"/>
      <c r="R21" s="70"/>
      <c r="S21" s="75"/>
      <c r="T21" s="92" t="str">
        <f t="shared" ref="T21" si="25">IF(OR(((G22-F22)*24)&gt;12,((I22-H22)*24)&gt;12,((K22-J22)*24)&gt;12,((M22-L22)*24)&gt;12,((O22-N22)*24&gt;12),((Q22-P22)*24)&gt;12,((S22-R22)*24)&gt;12),"!","")</f>
        <v/>
      </c>
      <c r="U21" s="92" t="str">
        <f t="shared" ref="U21" si="26">IF(COUNTBLANK(F21:S21)&lt;9,"!","")</f>
        <v/>
      </c>
      <c r="V21" s="92" t="str">
        <f t="shared" ref="V21" si="27">IF(OR(AND(H22&lt;&gt;"",G22&lt;&gt;"",(SUM($H$5,H22)-SUM($F$5,G22))&lt;8/24),AND(J22&lt;&gt;"",I22&lt;&gt;"",(SUM($J$5,J22)-SUM($H$5,I22))&lt;8/24),AND(L22&lt;&gt;"",K22&lt;&gt;"",(SUM($L$5,L22)-SUM($J$5,K22))&lt;8/24),AND(N22&lt;&gt;"",M22&lt;&gt;"",(SUM($N$5,N22)-SUM($L$5,M22))&lt;8/24),AND(P22&lt;&gt;"",O22&lt;&gt;"",(SUM($P$5,P22)-SUM($N$5,O22))&lt;8/24),AND(R22&lt;&gt;"",Q22&lt;&gt;"",(SUM($R$5,R22)-SUM($P$5,Q22))&lt;8/24)),"!","")</f>
        <v/>
      </c>
      <c r="W21" s="92" t="str">
        <f t="shared" ref="W21" si="28">IF(A22&lt;C22,"!","")</f>
        <v/>
      </c>
      <c r="X21" s="97" t="str">
        <f t="shared" ref="X21" si="29">IF(C22&lt;A22,"!","")</f>
        <v/>
      </c>
      <c r="Y21" s="50"/>
      <c r="Z21" s="63"/>
      <c r="AA21" s="63"/>
      <c r="AB21" s="63"/>
    </row>
    <row r="22" spans="1:28" ht="18" customHeight="1">
      <c r="A22" s="47">
        <f>IFERROR(MROUND(((IF(COUNT(F22:G22)=2,(G22-F22),0))+(IF(COUNT(H22:I22)=2,(I22-H22),0))+(IF(COUNT(J22:K22)=2,(K22-J22),0))+(IF(COUNT(L22:M22)=2,(M22-L22),0))+(IF(COUNT(N22:O22)=2,(O22-N22),0))+(IF(COUNT(P22:Q22)=2,(Q22-P22),0))+(IF(COUNT(R22:S22)=2,(S22-R22),0)))*24,0.1),0)</f>
        <v>0</v>
      </c>
      <c r="B22" s="47" t="s">
        <v>18</v>
      </c>
      <c r="C22" s="48">
        <f>IFERROR(INDEX(Settings!E:E,MATCH(Rota!A21,Settings!C:C,0)),0)</f>
        <v>0</v>
      </c>
      <c r="D22" s="49">
        <f>1.1*1.03*1.1207*IFERROR(INDEX(Settings!F:F,MATCH(Rota!A21,Settings!C:C,0))*A22,0)</f>
        <v>0</v>
      </c>
      <c r="E22" s="73"/>
      <c r="F22" s="5"/>
      <c r="G22" s="6"/>
      <c r="H22" s="5"/>
      <c r="I22" s="6"/>
      <c r="J22" s="5"/>
      <c r="K22" s="6"/>
      <c r="L22" s="5"/>
      <c r="M22" s="6"/>
      <c r="N22" s="5"/>
      <c r="O22" s="6"/>
      <c r="P22" s="5"/>
      <c r="Q22" s="6"/>
      <c r="R22" s="5"/>
      <c r="S22" s="6"/>
      <c r="T22" s="93"/>
      <c r="U22" s="93"/>
      <c r="V22" s="93"/>
      <c r="W22" s="93"/>
      <c r="X22" s="98"/>
      <c r="Y22" s="50"/>
      <c r="Z22" s="63"/>
      <c r="AA22" s="63"/>
      <c r="AB22" s="63"/>
    </row>
    <row r="23" spans="1:28" ht="24.95" customHeight="1">
      <c r="A23" s="62" t="s">
        <v>23</v>
      </c>
      <c r="B23" s="62"/>
      <c r="C23" s="62"/>
      <c r="D23" s="62"/>
      <c r="E23" s="72">
        <f>IFERROR(INDEX(Settings!D:D,MATCH(Rota!A23,Settings!C:C,0)),"")</f>
        <v>0</v>
      </c>
      <c r="F23" s="74"/>
      <c r="G23" s="71"/>
      <c r="H23" s="70"/>
      <c r="I23" s="71"/>
      <c r="J23" s="70"/>
      <c r="K23" s="71"/>
      <c r="L23" s="70"/>
      <c r="M23" s="71"/>
      <c r="N23" s="70"/>
      <c r="O23" s="71"/>
      <c r="P23" s="70"/>
      <c r="Q23" s="71"/>
      <c r="R23" s="70"/>
      <c r="S23" s="75"/>
      <c r="T23" s="92" t="str">
        <f t="shared" ref="T23" si="30">IF(OR(((G24-F24)*24)&gt;12,((I24-H24)*24)&gt;12,((K24-J24)*24)&gt;12,((M24-L24)*24)&gt;12,((O24-N24)*24&gt;12),((Q24-P24)*24)&gt;12,((S24-R24)*24)&gt;12),"!","")</f>
        <v/>
      </c>
      <c r="U23" s="92" t="str">
        <f t="shared" ref="U23" si="31">IF(COUNTBLANK(F23:S23)&lt;9,"!","")</f>
        <v/>
      </c>
      <c r="V23" s="92" t="str">
        <f t="shared" ref="V23" si="32">IF(OR(AND(H24&lt;&gt;"",G24&lt;&gt;"",(SUM($H$5,H24)-SUM($F$5,G24))&lt;8/24),AND(J24&lt;&gt;"",I24&lt;&gt;"",(SUM($J$5,J24)-SUM($H$5,I24))&lt;8/24),AND(L24&lt;&gt;"",K24&lt;&gt;"",(SUM($L$5,L24)-SUM($J$5,K24))&lt;8/24),AND(N24&lt;&gt;"",M24&lt;&gt;"",(SUM($N$5,N24)-SUM($L$5,M24))&lt;8/24),AND(P24&lt;&gt;"",O24&lt;&gt;"",(SUM($P$5,P24)-SUM($N$5,O24))&lt;8/24),AND(R24&lt;&gt;"",Q24&lt;&gt;"",(SUM($R$5,R24)-SUM($P$5,Q24))&lt;8/24)),"!","")</f>
        <v/>
      </c>
      <c r="W23" s="92" t="str">
        <f t="shared" ref="W23" si="33">IF(A24&lt;C24,"!","")</f>
        <v/>
      </c>
      <c r="X23" s="97" t="str">
        <f t="shared" ref="X23" si="34">IF(C24&lt;A24,"!","")</f>
        <v/>
      </c>
      <c r="Y23" s="50"/>
      <c r="Z23" s="63"/>
      <c r="AA23" s="63"/>
      <c r="AB23" s="63"/>
    </row>
    <row r="24" spans="1:28" ht="18" customHeight="1">
      <c r="A24" s="47">
        <f>IFERROR(MROUND(((IF(COUNT(F24:G24)=2,(G24-F24),0))+(IF(COUNT(H24:I24)=2,(I24-H24),0))+(IF(COUNT(J24:K24)=2,(K24-J24),0))+(IF(COUNT(L24:M24)=2,(M24-L24),0))+(IF(COUNT(N24:O24)=2,(O24-N24),0))+(IF(COUNT(P24:Q24)=2,(Q24-P24),0))+(IF(COUNT(R24:S24)=2,(S24-R24),0)))*24,0.1),0)</f>
        <v>0</v>
      </c>
      <c r="B24" s="47" t="s">
        <v>18</v>
      </c>
      <c r="C24" s="48">
        <f>IFERROR(INDEX(Settings!E:E,MATCH(Rota!A23,Settings!C:C,0)),0)</f>
        <v>0</v>
      </c>
      <c r="D24" s="49">
        <f>1.1*1.03*1.1207*IFERROR(INDEX(Settings!F:F,MATCH(Rota!A23,Settings!C:C,0))*A24,0)</f>
        <v>0</v>
      </c>
      <c r="E24" s="73"/>
      <c r="F24" s="5"/>
      <c r="G24" s="6"/>
      <c r="H24" s="5"/>
      <c r="I24" s="6"/>
      <c r="J24" s="5"/>
      <c r="K24" s="6"/>
      <c r="L24" s="5"/>
      <c r="M24" s="6"/>
      <c r="N24" s="5"/>
      <c r="O24" s="6"/>
      <c r="P24" s="5"/>
      <c r="Q24" s="6"/>
      <c r="R24" s="5"/>
      <c r="S24" s="6"/>
      <c r="T24" s="93"/>
      <c r="U24" s="93"/>
      <c r="V24" s="93"/>
      <c r="W24" s="93"/>
      <c r="X24" s="98"/>
      <c r="Y24" s="50"/>
      <c r="Z24" s="63"/>
      <c r="AA24" s="63"/>
      <c r="AB24" s="63"/>
    </row>
    <row r="25" spans="1:28" ht="24.95" customHeight="1">
      <c r="A25" s="62" t="s">
        <v>23</v>
      </c>
      <c r="B25" s="62"/>
      <c r="C25" s="62"/>
      <c r="D25" s="62"/>
      <c r="E25" s="72">
        <f>IFERROR(INDEX(Settings!D:D,MATCH(Rota!A25,Settings!C:C,0)),"")</f>
        <v>0</v>
      </c>
      <c r="F25" s="74"/>
      <c r="G25" s="71"/>
      <c r="H25" s="70"/>
      <c r="I25" s="71"/>
      <c r="J25" s="70"/>
      <c r="K25" s="71"/>
      <c r="L25" s="70"/>
      <c r="M25" s="71"/>
      <c r="N25" s="70"/>
      <c r="O25" s="71"/>
      <c r="P25" s="70"/>
      <c r="Q25" s="71"/>
      <c r="R25" s="70"/>
      <c r="S25" s="75"/>
      <c r="T25" s="92" t="str">
        <f t="shared" ref="T25" si="35">IF(OR(((G26-F26)*24)&gt;12,((I26-H26)*24)&gt;12,((K26-J26)*24)&gt;12,((M26-L26)*24)&gt;12,((O26-N26)*24&gt;12),((Q26-P26)*24)&gt;12,((S26-R26)*24)&gt;12),"!","")</f>
        <v/>
      </c>
      <c r="U25" s="92" t="str">
        <f t="shared" ref="U25" si="36">IF(COUNTBLANK(F25:S25)&lt;9,"!","")</f>
        <v/>
      </c>
      <c r="V25" s="92" t="str">
        <f t="shared" ref="V25" si="37">IF(OR(AND(H26&lt;&gt;"",G26&lt;&gt;"",(SUM($H$5,H26)-SUM($F$5,G26))&lt;8/24),AND(J26&lt;&gt;"",I26&lt;&gt;"",(SUM($J$5,J26)-SUM($H$5,I26))&lt;8/24),AND(L26&lt;&gt;"",K26&lt;&gt;"",(SUM($L$5,L26)-SUM($J$5,K26))&lt;8/24),AND(N26&lt;&gt;"",M26&lt;&gt;"",(SUM($N$5,N26)-SUM($L$5,M26))&lt;8/24),AND(P26&lt;&gt;"",O26&lt;&gt;"",(SUM($P$5,P26)-SUM($N$5,O26))&lt;8/24),AND(R26&lt;&gt;"",Q26&lt;&gt;"",(SUM($R$5,R26)-SUM($P$5,Q26))&lt;8/24)),"!","")</f>
        <v/>
      </c>
      <c r="W25" s="92" t="str">
        <f t="shared" ref="W25" si="38">IF(A26&lt;C26,"!","")</f>
        <v/>
      </c>
      <c r="X25" s="97" t="str">
        <f t="shared" ref="X25" si="39">IF(C26&lt;A26,"!","")</f>
        <v/>
      </c>
      <c r="Y25" s="50"/>
      <c r="Z25" s="63"/>
      <c r="AA25" s="63"/>
      <c r="AB25" s="63"/>
    </row>
    <row r="26" spans="1:28" ht="18" customHeight="1">
      <c r="A26" s="47">
        <f>IFERROR(MROUND(((IF(COUNT(F26:G26)=2,(G26-F26),0))+(IF(COUNT(H26:I26)=2,(I26-H26),0))+(IF(COUNT(J26:K26)=2,(K26-J26),0))+(IF(COUNT(L26:M26)=2,(M26-L26),0))+(IF(COUNT(N26:O26)=2,(O26-N26),0))+(IF(COUNT(P26:Q26)=2,(Q26-P26),0))+(IF(COUNT(R26:S26)=2,(S26-R26),0)))*24,0.1),0)</f>
        <v>0</v>
      </c>
      <c r="B26" s="47" t="s">
        <v>18</v>
      </c>
      <c r="C26" s="48">
        <f>IFERROR(INDEX(Settings!E:E,MATCH(Rota!A25,Settings!C:C,0)),0)</f>
        <v>0</v>
      </c>
      <c r="D26" s="49">
        <f>1.1*1.03*1.1207*IFERROR(INDEX(Settings!F:F,MATCH(Rota!A25,Settings!C:C,0))*A26,0)</f>
        <v>0</v>
      </c>
      <c r="E26" s="73"/>
      <c r="F26" s="5"/>
      <c r="G26" s="6"/>
      <c r="H26" s="5"/>
      <c r="I26" s="6"/>
      <c r="J26" s="5"/>
      <c r="K26" s="6"/>
      <c r="L26" s="5"/>
      <c r="M26" s="6"/>
      <c r="N26" s="5"/>
      <c r="O26" s="6"/>
      <c r="P26" s="5"/>
      <c r="Q26" s="6"/>
      <c r="R26" s="5"/>
      <c r="S26" s="6"/>
      <c r="T26" s="93"/>
      <c r="U26" s="93"/>
      <c r="V26" s="93"/>
      <c r="W26" s="93"/>
      <c r="X26" s="98"/>
      <c r="Y26" s="50"/>
      <c r="Z26" s="63"/>
      <c r="AA26" s="63"/>
      <c r="AB26" s="63"/>
    </row>
    <row r="27" spans="1:28" ht="24.95" customHeight="1">
      <c r="A27" s="62" t="s">
        <v>23</v>
      </c>
      <c r="B27" s="62"/>
      <c r="C27" s="62"/>
      <c r="D27" s="62"/>
      <c r="E27" s="72">
        <f>IFERROR(INDEX(Settings!D:D,MATCH(Rota!A27,Settings!C:C,0)),"")</f>
        <v>0</v>
      </c>
      <c r="F27" s="74"/>
      <c r="G27" s="71"/>
      <c r="H27" s="70"/>
      <c r="I27" s="71"/>
      <c r="J27" s="70"/>
      <c r="K27" s="71"/>
      <c r="L27" s="70"/>
      <c r="M27" s="71"/>
      <c r="N27" s="70"/>
      <c r="O27" s="71"/>
      <c r="P27" s="70"/>
      <c r="Q27" s="71"/>
      <c r="R27" s="70"/>
      <c r="S27" s="75"/>
      <c r="T27" s="92" t="str">
        <f t="shared" ref="T27" si="40">IF(OR(((G28-F28)*24)&gt;12,((I28-H28)*24)&gt;12,((K28-J28)*24)&gt;12,((M28-L28)*24)&gt;12,((O28-N28)*24&gt;12),((Q28-P28)*24)&gt;12,((S28-R28)*24)&gt;12),"!","")</f>
        <v/>
      </c>
      <c r="U27" s="92" t="str">
        <f t="shared" ref="U27" si="41">IF(COUNTBLANK(F27:S27)&lt;9,"!","")</f>
        <v/>
      </c>
      <c r="V27" s="92" t="str">
        <f t="shared" ref="V27" si="42">IF(OR(AND(H28&lt;&gt;"",G28&lt;&gt;"",(SUM($H$5,H28)-SUM($F$5,G28))&lt;8/24),AND(J28&lt;&gt;"",I28&lt;&gt;"",(SUM($J$5,J28)-SUM($H$5,I28))&lt;8/24),AND(L28&lt;&gt;"",K28&lt;&gt;"",(SUM($L$5,L28)-SUM($J$5,K28))&lt;8/24),AND(N28&lt;&gt;"",M28&lt;&gt;"",(SUM($N$5,N28)-SUM($L$5,M28))&lt;8/24),AND(P28&lt;&gt;"",O28&lt;&gt;"",(SUM($P$5,P28)-SUM($N$5,O28))&lt;8/24),AND(R28&lt;&gt;"",Q28&lt;&gt;"",(SUM($R$5,R28)-SUM($P$5,Q28))&lt;8/24)),"!","")</f>
        <v/>
      </c>
      <c r="W27" s="92" t="str">
        <f t="shared" ref="W27" si="43">IF(A28&lt;C28,"!","")</f>
        <v/>
      </c>
      <c r="X27" s="97" t="str">
        <f t="shared" ref="X27" si="44">IF(C28&lt;A28,"!","")</f>
        <v/>
      </c>
      <c r="Y27" s="50"/>
      <c r="Z27" s="63"/>
      <c r="AA27" s="63"/>
      <c r="AB27" s="63"/>
    </row>
    <row r="28" spans="1:28" ht="18" customHeight="1">
      <c r="A28" s="47">
        <f>IFERROR(MROUND(((IF(COUNT(F28:G28)=2,(G28-F28),0))+(IF(COUNT(H28:I28)=2,(I28-H28),0))+(IF(COUNT(J28:K28)=2,(K28-J28),0))+(IF(COUNT(L28:M28)=2,(M28-L28),0))+(IF(COUNT(N28:O28)=2,(O28-N28),0))+(IF(COUNT(P28:Q28)=2,(Q28-P28),0))+(IF(COUNT(R28:S28)=2,(S28-R28),0)))*24,0.1),0)</f>
        <v>0</v>
      </c>
      <c r="B28" s="47" t="s">
        <v>18</v>
      </c>
      <c r="C28" s="48">
        <f>IFERROR(INDEX(Settings!E:E,MATCH(Rota!A27,Settings!C:C,0)),0)</f>
        <v>0</v>
      </c>
      <c r="D28" s="49">
        <f>1.1*1.03*1.1207*IFERROR(INDEX(Settings!F:F,MATCH(Rota!A27,Settings!C:C,0))*A28,0)</f>
        <v>0</v>
      </c>
      <c r="E28" s="73"/>
      <c r="F28" s="5"/>
      <c r="G28" s="6"/>
      <c r="H28" s="5"/>
      <c r="I28" s="6"/>
      <c r="J28" s="5"/>
      <c r="K28" s="6"/>
      <c r="L28" s="5"/>
      <c r="M28" s="6"/>
      <c r="N28" s="5"/>
      <c r="O28" s="6"/>
      <c r="P28" s="5"/>
      <c r="Q28" s="6"/>
      <c r="R28" s="5"/>
      <c r="S28" s="6"/>
      <c r="T28" s="93"/>
      <c r="U28" s="93"/>
      <c r="V28" s="93"/>
      <c r="W28" s="93"/>
      <c r="X28" s="98"/>
      <c r="Y28" s="50"/>
      <c r="Z28" s="63"/>
      <c r="AA28" s="63"/>
      <c r="AB28" s="63"/>
    </row>
    <row r="29" spans="1:28" ht="24.95" customHeight="1">
      <c r="A29" s="62" t="s">
        <v>23</v>
      </c>
      <c r="B29" s="62"/>
      <c r="C29" s="62"/>
      <c r="D29" s="62"/>
      <c r="E29" s="72">
        <f>IFERROR(INDEX(Settings!D:D,MATCH(Rota!A29,Settings!C:C,0)),"")</f>
        <v>0</v>
      </c>
      <c r="F29" s="74"/>
      <c r="G29" s="71"/>
      <c r="H29" s="70"/>
      <c r="I29" s="71"/>
      <c r="J29" s="70"/>
      <c r="K29" s="71"/>
      <c r="L29" s="70"/>
      <c r="M29" s="71"/>
      <c r="N29" s="70"/>
      <c r="O29" s="71"/>
      <c r="P29" s="70"/>
      <c r="Q29" s="71"/>
      <c r="R29" s="70"/>
      <c r="S29" s="71"/>
      <c r="T29" s="92" t="str">
        <f t="shared" ref="T29" si="45">IF(OR(((G30-F30)*24)&gt;12,((I30-H30)*24)&gt;12,((K30-J30)*24)&gt;12,((M30-L30)*24)&gt;12,((O30-N30)*24&gt;12),((Q30-P30)*24)&gt;12,((S30-R30)*24)&gt;12),"!","")</f>
        <v/>
      </c>
      <c r="U29" s="92" t="str">
        <f t="shared" ref="U29" si="46">IF(COUNTBLANK(F29:S29)&lt;9,"!","")</f>
        <v/>
      </c>
      <c r="V29" s="92" t="str">
        <f t="shared" ref="V29" si="47">IF(OR(AND(H30&lt;&gt;"",G30&lt;&gt;"",(SUM($H$5,H30)-SUM($F$5,G30))&lt;8/24),AND(J30&lt;&gt;"",I30&lt;&gt;"",(SUM($J$5,J30)-SUM($H$5,I30))&lt;8/24),AND(L30&lt;&gt;"",K30&lt;&gt;"",(SUM($L$5,L30)-SUM($J$5,K30))&lt;8/24),AND(N30&lt;&gt;"",M30&lt;&gt;"",(SUM($N$5,N30)-SUM($L$5,M30))&lt;8/24),AND(P30&lt;&gt;"",O30&lt;&gt;"",(SUM($P$5,P30)-SUM($N$5,O30))&lt;8/24),AND(R30&lt;&gt;"",Q30&lt;&gt;"",(SUM($R$5,R30)-SUM($P$5,Q30))&lt;8/24)),"!","")</f>
        <v/>
      </c>
      <c r="W29" s="92" t="str">
        <f t="shared" ref="W29" si="48">IF(A30&lt;C30,"!","")</f>
        <v/>
      </c>
      <c r="X29" s="97" t="str">
        <f t="shared" ref="X29" si="49">IF(C30&lt;A30,"!","")</f>
        <v/>
      </c>
      <c r="Y29" s="50"/>
      <c r="Z29" s="63"/>
      <c r="AA29" s="63"/>
      <c r="AB29" s="63"/>
    </row>
    <row r="30" spans="1:28" ht="18" customHeight="1">
      <c r="A30" s="47">
        <f>IFERROR(MROUND(((IF(COUNT(F30:G30)=2,(G30-F30),0))+(IF(COUNT(H30:I30)=2,(I30-H30),0))+(IF(COUNT(J30:K30)=2,(K30-J30),0))+(IF(COUNT(L30:M30)=2,(M30-L30),0))+(IF(COUNT(N30:O30)=2,(O30-N30),0))+(IF(COUNT(P30:Q30)=2,(Q30-P30),0))+(IF(COUNT(R30:S30)=2,(S30-R30),0)))*24,0.1),0)</f>
        <v>0</v>
      </c>
      <c r="B30" s="47" t="s">
        <v>18</v>
      </c>
      <c r="C30" s="48">
        <f>IFERROR(INDEX(Settings!E:E,MATCH(Rota!A29,Settings!C:C,0)),0)</f>
        <v>0</v>
      </c>
      <c r="D30" s="49">
        <f>1.1*1.03*1.1207*IFERROR(INDEX(Settings!F:F,MATCH(Rota!A29,Settings!C:C,0))*A30,0)</f>
        <v>0</v>
      </c>
      <c r="E30" s="73"/>
      <c r="F30" s="5"/>
      <c r="G30" s="6"/>
      <c r="H30" s="5"/>
      <c r="I30" s="6"/>
      <c r="J30" s="5"/>
      <c r="K30" s="6"/>
      <c r="L30" s="5"/>
      <c r="M30" s="6"/>
      <c r="N30" s="5"/>
      <c r="O30" s="6"/>
      <c r="P30" s="5"/>
      <c r="Q30" s="6"/>
      <c r="R30" s="5"/>
      <c r="S30" s="6"/>
      <c r="T30" s="93"/>
      <c r="U30" s="93"/>
      <c r="V30" s="93"/>
      <c r="W30" s="93"/>
      <c r="X30" s="98"/>
      <c r="Y30" s="50"/>
      <c r="Z30" s="63"/>
      <c r="AA30" s="63"/>
      <c r="AB30" s="63"/>
    </row>
    <row r="31" spans="1:28" ht="24.95" customHeight="1">
      <c r="A31" s="62" t="s">
        <v>23</v>
      </c>
      <c r="B31" s="62"/>
      <c r="C31" s="62"/>
      <c r="D31" s="62"/>
      <c r="E31" s="72">
        <f>IFERROR(INDEX(Settings!D:D,MATCH(Rota!A31,Settings!C:C,0)),"")</f>
        <v>0</v>
      </c>
      <c r="F31" s="74"/>
      <c r="G31" s="71"/>
      <c r="H31" s="70"/>
      <c r="I31" s="71"/>
      <c r="J31" s="70"/>
      <c r="K31" s="71"/>
      <c r="L31" s="70"/>
      <c r="M31" s="71"/>
      <c r="N31" s="70"/>
      <c r="O31" s="71"/>
      <c r="P31" s="70"/>
      <c r="Q31" s="71"/>
      <c r="R31" s="70"/>
      <c r="S31" s="71"/>
      <c r="T31" s="92" t="str">
        <f t="shared" ref="T31" si="50">IF(OR(((G32-F32)*24)&gt;12,((I32-H32)*24)&gt;12,((K32-J32)*24)&gt;12,((M32-L32)*24)&gt;12,((O32-N32)*24&gt;12),((Q32-P32)*24)&gt;12,((S32-R32)*24)&gt;12),"!","")</f>
        <v/>
      </c>
      <c r="U31" s="92" t="str">
        <f t="shared" ref="U31" si="51">IF(COUNTBLANK(F31:S31)&lt;9,"!","")</f>
        <v/>
      </c>
      <c r="V31" s="92" t="str">
        <f t="shared" ref="V31" si="52">IF(OR(AND(H32&lt;&gt;"",G32&lt;&gt;"",(SUM($H$5,H32)-SUM($F$5,G32))&lt;8/24),AND(J32&lt;&gt;"",I32&lt;&gt;"",(SUM($J$5,J32)-SUM($H$5,I32))&lt;8/24),AND(L32&lt;&gt;"",K32&lt;&gt;"",(SUM($L$5,L32)-SUM($J$5,K32))&lt;8/24),AND(N32&lt;&gt;"",M32&lt;&gt;"",(SUM($N$5,N32)-SUM($L$5,M32))&lt;8/24),AND(P32&lt;&gt;"",O32&lt;&gt;"",(SUM($P$5,P32)-SUM($N$5,O32))&lt;8/24),AND(R32&lt;&gt;"",Q32&lt;&gt;"",(SUM($R$5,R32)-SUM($P$5,Q32))&lt;8/24)),"!","")</f>
        <v/>
      </c>
      <c r="W31" s="92" t="str">
        <f t="shared" ref="W31" si="53">IF(A32&lt;C32,"!","")</f>
        <v/>
      </c>
      <c r="X31" s="97" t="str">
        <f t="shared" ref="X31" si="54">IF(C32&lt;A32,"!","")</f>
        <v/>
      </c>
      <c r="Y31" s="50"/>
      <c r="Z31" s="63"/>
      <c r="AA31" s="63"/>
      <c r="AB31" s="63"/>
    </row>
    <row r="32" spans="1:28" ht="18" customHeight="1">
      <c r="A32" s="47">
        <f>IFERROR(MROUND(((IF(COUNT(F32:G32)=2,(G32-F32),0))+(IF(COUNT(H32:I32)=2,(I32-H32),0))+(IF(COUNT(J32:K32)=2,(K32-J32),0))+(IF(COUNT(L32:M32)=2,(M32-L32),0))+(IF(COUNT(N32:O32)=2,(O32-N32),0))+(IF(COUNT(P32:Q32)=2,(Q32-P32),0))+(IF(COUNT(R32:S32)=2,(S32-R32),0)))*24,0.1),0)</f>
        <v>0</v>
      </c>
      <c r="B32" s="47" t="s">
        <v>18</v>
      </c>
      <c r="C32" s="48">
        <f>IFERROR(INDEX(Settings!E:E,MATCH(Rota!A31,Settings!C:C,0)),0)</f>
        <v>0</v>
      </c>
      <c r="D32" s="49">
        <f>1.1*1.03*1.1207*IFERROR(INDEX(Settings!F:F,MATCH(Rota!A31,Settings!C:C,0))*A32,0)</f>
        <v>0</v>
      </c>
      <c r="E32" s="73"/>
      <c r="F32" s="5"/>
      <c r="G32" s="6"/>
      <c r="H32" s="5"/>
      <c r="I32" s="6"/>
      <c r="J32" s="5"/>
      <c r="K32" s="6"/>
      <c r="L32" s="5"/>
      <c r="M32" s="6"/>
      <c r="N32" s="5"/>
      <c r="O32" s="6"/>
      <c r="P32" s="5"/>
      <c r="Q32" s="6"/>
      <c r="R32" s="5"/>
      <c r="S32" s="6"/>
      <c r="T32" s="93"/>
      <c r="U32" s="93"/>
      <c r="V32" s="93"/>
      <c r="W32" s="93"/>
      <c r="X32" s="98"/>
      <c r="Y32" s="50"/>
      <c r="Z32" s="63"/>
      <c r="AA32" s="63"/>
      <c r="AB32" s="63"/>
    </row>
    <row r="33" spans="1:28" ht="24.95" customHeight="1">
      <c r="A33" s="62" t="s">
        <v>23</v>
      </c>
      <c r="B33" s="62"/>
      <c r="C33" s="62"/>
      <c r="D33" s="62"/>
      <c r="E33" s="72">
        <f>IFERROR(INDEX(Settings!D:D,MATCH(Rota!A33,Settings!C:C,0)),"")</f>
        <v>0</v>
      </c>
      <c r="F33" s="74"/>
      <c r="G33" s="71"/>
      <c r="H33" s="70"/>
      <c r="I33" s="71"/>
      <c r="J33" s="70"/>
      <c r="K33" s="71"/>
      <c r="L33" s="70"/>
      <c r="M33" s="71"/>
      <c r="N33" s="70"/>
      <c r="O33" s="71"/>
      <c r="P33" s="70"/>
      <c r="Q33" s="71"/>
      <c r="R33" s="70"/>
      <c r="S33" s="71"/>
      <c r="T33" s="92" t="str">
        <f t="shared" ref="T33" si="55">IF(OR(((G34-F34)*24)&gt;12,((I34-H34)*24)&gt;12,((K34-J34)*24)&gt;12,((M34-L34)*24)&gt;12,((O34-N34)*24&gt;12),((Q34-P34)*24)&gt;12,((S34-R34)*24)&gt;12),"!","")</f>
        <v/>
      </c>
      <c r="U33" s="92" t="str">
        <f t="shared" ref="U33" si="56">IF(COUNTBLANK(F33:S33)&lt;9,"!","")</f>
        <v/>
      </c>
      <c r="V33" s="92" t="str">
        <f t="shared" ref="V33" si="57">IF(OR(AND(H34&lt;&gt;"",G34&lt;&gt;"",(SUM($H$5,H34)-SUM($F$5,G34))&lt;8/24),AND(J34&lt;&gt;"",I34&lt;&gt;"",(SUM($J$5,J34)-SUM($H$5,I34))&lt;8/24),AND(L34&lt;&gt;"",K34&lt;&gt;"",(SUM($L$5,L34)-SUM($J$5,K34))&lt;8/24),AND(N34&lt;&gt;"",M34&lt;&gt;"",(SUM($N$5,N34)-SUM($L$5,M34))&lt;8/24),AND(P34&lt;&gt;"",O34&lt;&gt;"",(SUM($P$5,P34)-SUM($N$5,O34))&lt;8/24),AND(R34&lt;&gt;"",Q34&lt;&gt;"",(SUM($R$5,R34)-SUM($P$5,Q34))&lt;8/24)),"!","")</f>
        <v/>
      </c>
      <c r="W33" s="92" t="str">
        <f t="shared" ref="W33" si="58">IF(A34&lt;C34,"!","")</f>
        <v/>
      </c>
      <c r="X33" s="97" t="str">
        <f t="shared" ref="X33" si="59">IF(C34&lt;A34,"!","")</f>
        <v/>
      </c>
      <c r="Y33" s="50"/>
      <c r="Z33" s="63"/>
      <c r="AA33" s="63"/>
      <c r="AB33" s="63"/>
    </row>
    <row r="34" spans="1:28" ht="18" customHeight="1">
      <c r="A34" s="47">
        <f>IFERROR(MROUND(((IF(COUNT(F34:G34)=2,(G34-F34),0))+(IF(COUNT(H34:I34)=2,(I34-H34),0))+(IF(COUNT(J34:K34)=2,(K34-J34),0))+(IF(COUNT(L34:M34)=2,(M34-L34),0))+(IF(COUNT(N34:O34)=2,(O34-N34),0))+(IF(COUNT(P34:Q34)=2,(Q34-P34),0))+(IF(COUNT(R34:S34)=2,(S34-R34),0)))*24,0.1),0)</f>
        <v>0</v>
      </c>
      <c r="B34" s="47" t="s">
        <v>18</v>
      </c>
      <c r="C34" s="48">
        <f>IFERROR(INDEX(Settings!E:E,MATCH(Rota!A33,Settings!C:C,0)),0)</f>
        <v>0</v>
      </c>
      <c r="D34" s="49">
        <f>1.1*1.03*1.1207*IFERROR(INDEX(Settings!F:F,MATCH(Rota!A33,Settings!C:C,0))*A34,0)</f>
        <v>0</v>
      </c>
      <c r="E34" s="73"/>
      <c r="F34" s="5"/>
      <c r="G34" s="6"/>
      <c r="H34" s="5"/>
      <c r="I34" s="6"/>
      <c r="J34" s="5"/>
      <c r="K34" s="6"/>
      <c r="L34" s="5"/>
      <c r="M34" s="6"/>
      <c r="N34" s="5"/>
      <c r="O34" s="6"/>
      <c r="P34" s="5"/>
      <c r="Q34" s="6"/>
      <c r="R34" s="5"/>
      <c r="S34" s="6"/>
      <c r="T34" s="93"/>
      <c r="U34" s="93"/>
      <c r="V34" s="93"/>
      <c r="W34" s="93"/>
      <c r="X34" s="98"/>
      <c r="Y34" s="50"/>
      <c r="Z34" s="63"/>
      <c r="AA34" s="63"/>
      <c r="AB34" s="63"/>
    </row>
    <row r="35" spans="1:28" ht="24.95" customHeight="1">
      <c r="A35" s="62" t="s">
        <v>23</v>
      </c>
      <c r="B35" s="62"/>
      <c r="C35" s="62"/>
      <c r="D35" s="62"/>
      <c r="E35" s="72">
        <f>IFERROR(INDEX(Settings!D:D,MATCH(Rota!A35,Settings!C:C,0)),"")</f>
        <v>0</v>
      </c>
      <c r="F35" s="74"/>
      <c r="G35" s="71"/>
      <c r="H35" s="70"/>
      <c r="I35" s="71"/>
      <c r="J35" s="70"/>
      <c r="K35" s="71"/>
      <c r="L35" s="70"/>
      <c r="M35" s="71"/>
      <c r="N35" s="70"/>
      <c r="O35" s="71"/>
      <c r="P35" s="70"/>
      <c r="Q35" s="71"/>
      <c r="R35" s="70"/>
      <c r="S35" s="71"/>
      <c r="T35" s="92" t="str">
        <f t="shared" ref="T35" si="60">IF(OR(((G36-F36)*24)&gt;12,((I36-H36)*24)&gt;12,((K36-J36)*24)&gt;12,((M36-L36)*24)&gt;12,((O36-N36)*24&gt;12),((Q36-P36)*24)&gt;12,((S36-R36)*24)&gt;12),"!","")</f>
        <v/>
      </c>
      <c r="U35" s="92" t="str">
        <f t="shared" ref="U35" si="61">IF(COUNTBLANK(F35:S35)&lt;9,"!","")</f>
        <v/>
      </c>
      <c r="V35" s="92" t="str">
        <f t="shared" ref="V35" si="62">IF(OR(AND(H36&lt;&gt;"",G36&lt;&gt;"",(SUM($H$5,H36)-SUM($F$5,G36))&lt;8/24),AND(J36&lt;&gt;"",I36&lt;&gt;"",(SUM($J$5,J36)-SUM($H$5,I36))&lt;8/24),AND(L36&lt;&gt;"",K36&lt;&gt;"",(SUM($L$5,L36)-SUM($J$5,K36))&lt;8/24),AND(N36&lt;&gt;"",M36&lt;&gt;"",(SUM($N$5,N36)-SUM($L$5,M36))&lt;8/24),AND(P36&lt;&gt;"",O36&lt;&gt;"",(SUM($P$5,P36)-SUM($N$5,O36))&lt;8/24),AND(R36&lt;&gt;"",Q36&lt;&gt;"",(SUM($R$5,R36)-SUM($P$5,Q36))&lt;8/24)),"!","")</f>
        <v/>
      </c>
      <c r="W35" s="92" t="str">
        <f t="shared" ref="W35" si="63">IF(A36&lt;C36,"!","")</f>
        <v/>
      </c>
      <c r="X35" s="97" t="str">
        <f t="shared" ref="X35" si="64">IF(C36&lt;A36,"!","")</f>
        <v/>
      </c>
      <c r="Y35" s="50"/>
      <c r="Z35" s="63"/>
      <c r="AA35" s="63"/>
      <c r="AB35" s="63"/>
    </row>
    <row r="36" spans="1:28" ht="18" customHeight="1">
      <c r="A36" s="47">
        <f>IFERROR(MROUND(((IF(COUNT(F36:G36)=2,(G36-F36),0))+(IF(COUNT(H36:I36)=2,(I36-H36),0))+(IF(COUNT(J36:K36)=2,(K36-J36),0))+(IF(COUNT(L36:M36)=2,(M36-L36),0))+(IF(COUNT(N36:O36)=2,(O36-N36),0))+(IF(COUNT(P36:Q36)=2,(Q36-P36),0))+(IF(COUNT(R36:S36)=2,(S36-R36),0)))*24,0.1),0)</f>
        <v>0</v>
      </c>
      <c r="B36" s="47" t="s">
        <v>18</v>
      </c>
      <c r="C36" s="48">
        <f>IFERROR(INDEX(Settings!E:E,MATCH(Rota!A35,Settings!C:C,0)),0)</f>
        <v>0</v>
      </c>
      <c r="D36" s="49">
        <f>1.1*1.03*1.1207*IFERROR(INDEX(Settings!F:F,MATCH(Rota!A35,Settings!C:C,0))*A36,0)</f>
        <v>0</v>
      </c>
      <c r="E36" s="73"/>
      <c r="F36" s="5"/>
      <c r="G36" s="6"/>
      <c r="H36" s="5"/>
      <c r="I36" s="6"/>
      <c r="J36" s="5"/>
      <c r="K36" s="6"/>
      <c r="L36" s="5"/>
      <c r="M36" s="6"/>
      <c r="N36" s="5"/>
      <c r="O36" s="6"/>
      <c r="P36" s="5"/>
      <c r="Q36" s="6"/>
      <c r="R36" s="5"/>
      <c r="S36" s="6"/>
      <c r="T36" s="93"/>
      <c r="U36" s="93"/>
      <c r="V36" s="93"/>
      <c r="W36" s="93"/>
      <c r="X36" s="98"/>
      <c r="Y36" s="50"/>
      <c r="Z36" s="63"/>
      <c r="AA36" s="63"/>
      <c r="AB36" s="63"/>
    </row>
    <row r="37" spans="1:28" ht="24.95" customHeight="1">
      <c r="A37" s="62" t="s">
        <v>23</v>
      </c>
      <c r="B37" s="62"/>
      <c r="C37" s="62"/>
      <c r="D37" s="62"/>
      <c r="E37" s="72">
        <f>IFERROR(INDEX(Settings!D:D,MATCH(Rota!A37,Settings!C:C,0)),"")</f>
        <v>0</v>
      </c>
      <c r="F37" s="74"/>
      <c r="G37" s="71"/>
      <c r="H37" s="70"/>
      <c r="I37" s="71"/>
      <c r="J37" s="70"/>
      <c r="K37" s="71"/>
      <c r="L37" s="70"/>
      <c r="M37" s="71"/>
      <c r="N37" s="70"/>
      <c r="O37" s="71"/>
      <c r="P37" s="70"/>
      <c r="Q37" s="71"/>
      <c r="R37" s="70"/>
      <c r="S37" s="71"/>
      <c r="T37" s="92" t="str">
        <f t="shared" ref="T37" si="65">IF(OR(((G38-F38)*24)&gt;12,((I38-H38)*24)&gt;12,((K38-J38)*24)&gt;12,((M38-L38)*24)&gt;12,((O38-N38)*24&gt;12),((Q38-P38)*24)&gt;12,((S38-R38)*24)&gt;12),"!","")</f>
        <v/>
      </c>
      <c r="U37" s="92" t="str">
        <f t="shared" ref="U37" si="66">IF(COUNTBLANK(F37:S37)&lt;9,"!","")</f>
        <v/>
      </c>
      <c r="V37" s="92" t="str">
        <f t="shared" ref="V37" si="67">IF(OR(AND(H38&lt;&gt;"",G38&lt;&gt;"",(SUM($H$5,H38)-SUM($F$5,G38))&lt;8/24),AND(J38&lt;&gt;"",I38&lt;&gt;"",(SUM($J$5,J38)-SUM($H$5,I38))&lt;8/24),AND(L38&lt;&gt;"",K38&lt;&gt;"",(SUM($L$5,L38)-SUM($J$5,K38))&lt;8/24),AND(N38&lt;&gt;"",M38&lt;&gt;"",(SUM($N$5,N38)-SUM($L$5,M38))&lt;8/24),AND(P38&lt;&gt;"",O38&lt;&gt;"",(SUM($P$5,P38)-SUM($N$5,O38))&lt;8/24),AND(R38&lt;&gt;"",Q38&lt;&gt;"",(SUM($R$5,R38)-SUM($P$5,Q38))&lt;8/24)),"!","")</f>
        <v/>
      </c>
      <c r="W37" s="92" t="str">
        <f t="shared" ref="W37" si="68">IF(A38&lt;C38,"!","")</f>
        <v/>
      </c>
      <c r="X37" s="97" t="str">
        <f t="shared" ref="X37" si="69">IF(C38&lt;A38,"!","")</f>
        <v/>
      </c>
      <c r="Y37" s="50"/>
      <c r="Z37" s="63"/>
      <c r="AA37" s="63"/>
      <c r="AB37" s="63"/>
    </row>
    <row r="38" spans="1:28" ht="18" customHeight="1">
      <c r="A38" s="47">
        <f>IFERROR(MROUND(((IF(COUNT(F38:G38)=2,(G38-F38),0))+(IF(COUNT(H38:I38)=2,(I38-H38),0))+(IF(COUNT(J38:K38)=2,(K38-J38),0))+(IF(COUNT(L38:M38)=2,(M38-L38),0))+(IF(COUNT(N38:O38)=2,(O38-N38),0))+(IF(COUNT(P38:Q38)=2,(Q38-P38),0))+(IF(COUNT(R38:S38)=2,(S38-R38),0)))*24,0.1),0)</f>
        <v>0</v>
      </c>
      <c r="B38" s="47" t="s">
        <v>18</v>
      </c>
      <c r="C38" s="48">
        <f>IFERROR(INDEX(Settings!E:E,MATCH(Rota!A37,Settings!C:C,0)),0)</f>
        <v>0</v>
      </c>
      <c r="D38" s="49">
        <f>1.1*1.03*1.1207*IFERROR(INDEX(Settings!F:F,MATCH(Rota!A37,Settings!C:C,0))*A38,0)</f>
        <v>0</v>
      </c>
      <c r="E38" s="73"/>
      <c r="F38" s="5"/>
      <c r="G38" s="6"/>
      <c r="H38" s="5"/>
      <c r="I38" s="6"/>
      <c r="J38" s="5"/>
      <c r="K38" s="6"/>
      <c r="L38" s="5"/>
      <c r="M38" s="6"/>
      <c r="N38" s="5"/>
      <c r="O38" s="6"/>
      <c r="P38" s="5"/>
      <c r="Q38" s="6"/>
      <c r="R38" s="5"/>
      <c r="S38" s="6"/>
      <c r="T38" s="93"/>
      <c r="U38" s="93"/>
      <c r="V38" s="93"/>
      <c r="W38" s="93"/>
      <c r="X38" s="98"/>
      <c r="Y38" s="50"/>
      <c r="Z38" s="63"/>
      <c r="AA38" s="63"/>
      <c r="AB38" s="63"/>
    </row>
    <row r="39" spans="1:28" ht="24.95" customHeight="1">
      <c r="A39" s="62" t="s">
        <v>23</v>
      </c>
      <c r="B39" s="62"/>
      <c r="C39" s="62"/>
      <c r="D39" s="62"/>
      <c r="E39" s="72">
        <f>IFERROR(INDEX(Settings!D:D,MATCH(Rota!A39,Settings!C:C,0)),"")</f>
        <v>0</v>
      </c>
      <c r="F39" s="74"/>
      <c r="G39" s="71"/>
      <c r="H39" s="70"/>
      <c r="I39" s="71"/>
      <c r="J39" s="70"/>
      <c r="K39" s="71"/>
      <c r="L39" s="70"/>
      <c r="M39" s="71"/>
      <c r="N39" s="70"/>
      <c r="O39" s="71"/>
      <c r="P39" s="70"/>
      <c r="Q39" s="71"/>
      <c r="R39" s="70"/>
      <c r="S39" s="71"/>
      <c r="T39" s="92" t="str">
        <f t="shared" ref="T39" si="70">IF(OR(((G40-F40)*24)&gt;12,((I40-H40)*24)&gt;12,((K40-J40)*24)&gt;12,((M40-L40)*24)&gt;12,((O40-N40)*24&gt;12),((Q40-P40)*24)&gt;12,((S40-R40)*24)&gt;12),"!","")</f>
        <v/>
      </c>
      <c r="U39" s="92" t="str">
        <f t="shared" ref="U39" si="71">IF(COUNTBLANK(F39:S39)&lt;9,"!","")</f>
        <v/>
      </c>
      <c r="V39" s="92" t="str">
        <f t="shared" ref="V39" si="72">IF(OR(AND(H40&lt;&gt;"",G40&lt;&gt;"",(SUM($H$5,H40)-SUM($F$5,G40))&lt;8/24),AND(J40&lt;&gt;"",I40&lt;&gt;"",(SUM($J$5,J40)-SUM($H$5,I40))&lt;8/24),AND(L40&lt;&gt;"",K40&lt;&gt;"",(SUM($L$5,L40)-SUM($J$5,K40))&lt;8/24),AND(N40&lt;&gt;"",M40&lt;&gt;"",(SUM($N$5,N40)-SUM($L$5,M40))&lt;8/24),AND(P40&lt;&gt;"",O40&lt;&gt;"",(SUM($P$5,P40)-SUM($N$5,O40))&lt;8/24),AND(R40&lt;&gt;"",Q40&lt;&gt;"",(SUM($R$5,R40)-SUM($P$5,Q40))&lt;8/24)),"!","")</f>
        <v/>
      </c>
      <c r="W39" s="92" t="str">
        <f t="shared" ref="W39" si="73">IF(A40&lt;C40,"!","")</f>
        <v/>
      </c>
      <c r="X39" s="97" t="str">
        <f t="shared" ref="X39" si="74">IF(C40&lt;A40,"!","")</f>
        <v/>
      </c>
      <c r="Y39" s="50"/>
      <c r="Z39" s="63"/>
      <c r="AA39" s="63"/>
      <c r="AB39" s="63"/>
    </row>
    <row r="40" spans="1:28" ht="18" customHeight="1">
      <c r="A40" s="47">
        <f>IFERROR(MROUND(((IF(COUNT(F40:G40)=2,(G40-F40),0))+(IF(COUNT(H40:I40)=2,(I40-H40),0))+(IF(COUNT(J40:K40)=2,(K40-J40),0))+(IF(COUNT(L40:M40)=2,(M40-L40),0))+(IF(COUNT(N40:O40)=2,(O40-N40),0))+(IF(COUNT(P40:Q40)=2,(Q40-P40),0))+(IF(COUNT(R40:S40)=2,(S40-R40),0)))*24,0.1),0)</f>
        <v>0</v>
      </c>
      <c r="B40" s="47" t="s">
        <v>18</v>
      </c>
      <c r="C40" s="48">
        <f>IFERROR(INDEX(Settings!E:E,MATCH(Rota!A39,Settings!C:C,0)),0)</f>
        <v>0</v>
      </c>
      <c r="D40" s="49">
        <f>1.1*1.03*1.1207*IFERROR(INDEX(Settings!F:F,MATCH(Rota!A39,Settings!C:C,0))*A40,0)</f>
        <v>0</v>
      </c>
      <c r="E40" s="73"/>
      <c r="F40" s="5"/>
      <c r="G40" s="6"/>
      <c r="H40" s="5"/>
      <c r="I40" s="6"/>
      <c r="J40" s="5"/>
      <c r="K40" s="6"/>
      <c r="L40" s="5"/>
      <c r="M40" s="6"/>
      <c r="N40" s="5"/>
      <c r="O40" s="6"/>
      <c r="P40" s="5"/>
      <c r="Q40" s="6"/>
      <c r="R40" s="5"/>
      <c r="S40" s="6"/>
      <c r="T40" s="93"/>
      <c r="U40" s="93"/>
      <c r="V40" s="93"/>
      <c r="W40" s="93"/>
      <c r="X40" s="98"/>
      <c r="Y40" s="50"/>
      <c r="Z40" s="63"/>
      <c r="AA40" s="63"/>
      <c r="AB40" s="63"/>
    </row>
    <row r="41" spans="1:28" ht="15" customHeight="1">
      <c r="A41" s="34"/>
      <c r="B41" s="34"/>
      <c r="C41" s="34"/>
      <c r="D41" s="34"/>
      <c r="E41" s="34"/>
      <c r="F41" s="34"/>
      <c r="G41" s="35"/>
      <c r="H41" s="34"/>
      <c r="I41" s="34"/>
      <c r="J41" s="34"/>
      <c r="K41" s="34"/>
      <c r="L41" s="34"/>
      <c r="M41" s="34"/>
      <c r="N41" s="34"/>
      <c r="O41" s="34"/>
      <c r="P41" s="34"/>
      <c r="Q41" s="34"/>
      <c r="R41" s="34"/>
      <c r="S41" s="34"/>
      <c r="Z41"/>
      <c r="AA41"/>
      <c r="AB41"/>
    </row>
    <row r="42" spans="1:28" ht="15" customHeight="1">
      <c r="F42" s="10"/>
      <c r="Z42"/>
      <c r="AA42"/>
      <c r="AB42"/>
    </row>
    <row r="43" spans="1:28" ht="15" customHeight="1">
      <c r="Z43"/>
      <c r="AA43"/>
      <c r="AB43"/>
    </row>
  </sheetData>
  <sheetProtection sheet="1" objects="1" scenarios="1" selectLockedCells="1"/>
  <dataConsolidate/>
  <mergeCells count="269">
    <mergeCell ref="W33:W34"/>
    <mergeCell ref="W35:W36"/>
    <mergeCell ref="W37:W38"/>
    <mergeCell ref="W39:W40"/>
    <mergeCell ref="X21:X22"/>
    <mergeCell ref="X23:X24"/>
    <mergeCell ref="X25:X26"/>
    <mergeCell ref="X27:X28"/>
    <mergeCell ref="X29:X30"/>
    <mergeCell ref="X31:X32"/>
    <mergeCell ref="X33:X34"/>
    <mergeCell ref="X35:X36"/>
    <mergeCell ref="X37:X38"/>
    <mergeCell ref="X39:X40"/>
    <mergeCell ref="W23:W24"/>
    <mergeCell ref="V33:V34"/>
    <mergeCell ref="V35:V36"/>
    <mergeCell ref="V37:V38"/>
    <mergeCell ref="V39:V40"/>
    <mergeCell ref="U21:U22"/>
    <mergeCell ref="U23:U24"/>
    <mergeCell ref="U25:U26"/>
    <mergeCell ref="U27:U28"/>
    <mergeCell ref="U29:U30"/>
    <mergeCell ref="U31:U32"/>
    <mergeCell ref="U33:U34"/>
    <mergeCell ref="U35:U36"/>
    <mergeCell ref="U37:U38"/>
    <mergeCell ref="U39:U40"/>
    <mergeCell ref="V25:V26"/>
    <mergeCell ref="V27:V28"/>
    <mergeCell ref="V29:V30"/>
    <mergeCell ref="W25:W26"/>
    <mergeCell ref="W27:W28"/>
    <mergeCell ref="W29:W30"/>
    <mergeCell ref="W17:W18"/>
    <mergeCell ref="X17:X18"/>
    <mergeCell ref="V31:V32"/>
    <mergeCell ref="W31:W32"/>
    <mergeCell ref="W19:W20"/>
    <mergeCell ref="X19:X20"/>
    <mergeCell ref="V21:V22"/>
    <mergeCell ref="W21:W22"/>
    <mergeCell ref="V13:V14"/>
    <mergeCell ref="W13:W14"/>
    <mergeCell ref="X13:X14"/>
    <mergeCell ref="W15:W16"/>
    <mergeCell ref="X15:X16"/>
    <mergeCell ref="T23:T24"/>
    <mergeCell ref="U13:U14"/>
    <mergeCell ref="U19:U20"/>
    <mergeCell ref="V5:V10"/>
    <mergeCell ref="V11:V12"/>
    <mergeCell ref="U5:U10"/>
    <mergeCell ref="T5:T10"/>
    <mergeCell ref="U15:U16"/>
    <mergeCell ref="V15:V16"/>
    <mergeCell ref="V19:V20"/>
    <mergeCell ref="U17:U18"/>
    <mergeCell ref="V17:V18"/>
    <mergeCell ref="V23:V24"/>
    <mergeCell ref="T13:T14"/>
    <mergeCell ref="T15:T16"/>
    <mergeCell ref="T17:T18"/>
    <mergeCell ref="T19:T20"/>
    <mergeCell ref="T21:T22"/>
    <mergeCell ref="W5:W10"/>
    <mergeCell ref="X5:X10"/>
    <mergeCell ref="X11:X12"/>
    <mergeCell ref="W11:W12"/>
    <mergeCell ref="U11:U12"/>
    <mergeCell ref="T11:T12"/>
    <mergeCell ref="P39:Q39"/>
    <mergeCell ref="N39:O39"/>
    <mergeCell ref="P11:Q11"/>
    <mergeCell ref="N11:O11"/>
    <mergeCell ref="P37:Q37"/>
    <mergeCell ref="N37:O37"/>
    <mergeCell ref="R15:S15"/>
    <mergeCell ref="R17:S17"/>
    <mergeCell ref="R27:S27"/>
    <mergeCell ref="P27:Q27"/>
    <mergeCell ref="R31:S31"/>
    <mergeCell ref="P31:Q31"/>
    <mergeCell ref="N31:O31"/>
    <mergeCell ref="R35:S35"/>
    <mergeCell ref="P35:Q35"/>
    <mergeCell ref="N35:O35"/>
    <mergeCell ref="N21:O21"/>
    <mergeCell ref="P21:Q21"/>
    <mergeCell ref="P29:Q29"/>
    <mergeCell ref="N29:O29"/>
    <mergeCell ref="J15:K15"/>
    <mergeCell ref="L15:M15"/>
    <mergeCell ref="A21:D21"/>
    <mergeCell ref="F21:G21"/>
    <mergeCell ref="H21:I21"/>
    <mergeCell ref="J21:K21"/>
    <mergeCell ref="L21:M21"/>
    <mergeCell ref="E19:E20"/>
    <mergeCell ref="E21:E22"/>
    <mergeCell ref="A19:D19"/>
    <mergeCell ref="F19:G19"/>
    <mergeCell ref="P15:Q15"/>
    <mergeCell ref="N15:O15"/>
    <mergeCell ref="P17:Q17"/>
    <mergeCell ref="N17:O17"/>
    <mergeCell ref="N19:O19"/>
    <mergeCell ref="P19:Q19"/>
    <mergeCell ref="A23:D23"/>
    <mergeCell ref="A29:D29"/>
    <mergeCell ref="F29:G29"/>
    <mergeCell ref="T25:T26"/>
    <mergeCell ref="T27:T28"/>
    <mergeCell ref="T29:T30"/>
    <mergeCell ref="T31:T32"/>
    <mergeCell ref="T33:T34"/>
    <mergeCell ref="T35:T36"/>
    <mergeCell ref="T37:T38"/>
    <mergeCell ref="T39:T40"/>
    <mergeCell ref="R29:S29"/>
    <mergeCell ref="R39:S39"/>
    <mergeCell ref="R37:S37"/>
    <mergeCell ref="A1:S1"/>
    <mergeCell ref="R11:S11"/>
    <mergeCell ref="R13:S13"/>
    <mergeCell ref="A10:C10"/>
    <mergeCell ref="H6:I6"/>
    <mergeCell ref="R5:S5"/>
    <mergeCell ref="R6:S6"/>
    <mergeCell ref="N5:O5"/>
    <mergeCell ref="N6:O6"/>
    <mergeCell ref="P5:Q5"/>
    <mergeCell ref="P6:Q6"/>
    <mergeCell ref="P4:Q4"/>
    <mergeCell ref="N10:O10"/>
    <mergeCell ref="P10:Q10"/>
    <mergeCell ref="R10:S10"/>
    <mergeCell ref="R4:S4"/>
    <mergeCell ref="L5:M5"/>
    <mergeCell ref="L6:M6"/>
    <mergeCell ref="L13:M13"/>
    <mergeCell ref="J13:K13"/>
    <mergeCell ref="H13:I13"/>
    <mergeCell ref="F13:G13"/>
    <mergeCell ref="P13:Q13"/>
    <mergeCell ref="N13:O13"/>
    <mergeCell ref="L11:M11"/>
    <mergeCell ref="H5:I5"/>
    <mergeCell ref="A17:D17"/>
    <mergeCell ref="F17:G17"/>
    <mergeCell ref="H17:I17"/>
    <mergeCell ref="J17:K17"/>
    <mergeCell ref="L17:M17"/>
    <mergeCell ref="F5:G5"/>
    <mergeCell ref="F6:G6"/>
    <mergeCell ref="F11:G11"/>
    <mergeCell ref="H11:I11"/>
    <mergeCell ref="J5:K5"/>
    <mergeCell ref="J6:K6"/>
    <mergeCell ref="J11:K11"/>
    <mergeCell ref="A11:D11"/>
    <mergeCell ref="A7:C7"/>
    <mergeCell ref="A9:C9"/>
    <mergeCell ref="J10:K10"/>
    <mergeCell ref="L10:M10"/>
    <mergeCell ref="A13:D13"/>
    <mergeCell ref="A5:E5"/>
    <mergeCell ref="E11:E12"/>
    <mergeCell ref="A8:C8"/>
    <mergeCell ref="A6:C6"/>
    <mergeCell ref="R19:S19"/>
    <mergeCell ref="P25:Q25"/>
    <mergeCell ref="R25:S25"/>
    <mergeCell ref="E23:E24"/>
    <mergeCell ref="E25:E26"/>
    <mergeCell ref="N27:O27"/>
    <mergeCell ref="E15:E16"/>
    <mergeCell ref="E17:E18"/>
    <mergeCell ref="F15:G15"/>
    <mergeCell ref="H15:I15"/>
    <mergeCell ref="R21:S21"/>
    <mergeCell ref="N25:O25"/>
    <mergeCell ref="F23:G23"/>
    <mergeCell ref="H23:I23"/>
    <mergeCell ref="J23:K23"/>
    <mergeCell ref="L23:M23"/>
    <mergeCell ref="N23:O23"/>
    <mergeCell ref="P23:Q23"/>
    <mergeCell ref="R23:S23"/>
    <mergeCell ref="J19:K19"/>
    <mergeCell ref="L19:M19"/>
    <mergeCell ref="E27:E28"/>
    <mergeCell ref="H19:I19"/>
    <mergeCell ref="N33:O33"/>
    <mergeCell ref="P33:Q33"/>
    <mergeCell ref="R33:S33"/>
    <mergeCell ref="E31:E32"/>
    <mergeCell ref="E33:E34"/>
    <mergeCell ref="A31:D31"/>
    <mergeCell ref="F31:G31"/>
    <mergeCell ref="H31:I31"/>
    <mergeCell ref="J31:K31"/>
    <mergeCell ref="L31:M31"/>
    <mergeCell ref="F33:G33"/>
    <mergeCell ref="H33:I33"/>
    <mergeCell ref="A33:D33"/>
    <mergeCell ref="J33:K33"/>
    <mergeCell ref="L33:M33"/>
    <mergeCell ref="A37:D37"/>
    <mergeCell ref="F37:G37"/>
    <mergeCell ref="H37:I37"/>
    <mergeCell ref="J37:K37"/>
    <mergeCell ref="L37:M37"/>
    <mergeCell ref="E35:E36"/>
    <mergeCell ref="E37:E38"/>
    <mergeCell ref="A35:D35"/>
    <mergeCell ref="F35:G35"/>
    <mergeCell ref="H35:I35"/>
    <mergeCell ref="J35:K35"/>
    <mergeCell ref="L35:M35"/>
    <mergeCell ref="N9:O9"/>
    <mergeCell ref="P9:Q9"/>
    <mergeCell ref="H29:I29"/>
    <mergeCell ref="J29:K29"/>
    <mergeCell ref="L29:M29"/>
    <mergeCell ref="E29:E30"/>
    <mergeCell ref="H10:I10"/>
    <mergeCell ref="E39:E40"/>
    <mergeCell ref="A39:D39"/>
    <mergeCell ref="F39:G39"/>
    <mergeCell ref="H39:I39"/>
    <mergeCell ref="J39:K39"/>
    <mergeCell ref="L39:M39"/>
    <mergeCell ref="E13:E14"/>
    <mergeCell ref="A27:D27"/>
    <mergeCell ref="F27:G27"/>
    <mergeCell ref="H27:I27"/>
    <mergeCell ref="J27:K27"/>
    <mergeCell ref="L27:M27"/>
    <mergeCell ref="A25:D25"/>
    <mergeCell ref="F25:G25"/>
    <mergeCell ref="H25:I25"/>
    <mergeCell ref="J25:K25"/>
    <mergeCell ref="L25:M25"/>
    <mergeCell ref="R9:S9"/>
    <mergeCell ref="A2:N3"/>
    <mergeCell ref="A15:D15"/>
    <mergeCell ref="Z13:AB40"/>
    <mergeCell ref="Z11:AB12"/>
    <mergeCell ref="F8:G8"/>
    <mergeCell ref="F7:G7"/>
    <mergeCell ref="F10:G10"/>
    <mergeCell ref="F9:G9"/>
    <mergeCell ref="H8:I8"/>
    <mergeCell ref="J8:K8"/>
    <mergeCell ref="L8:M8"/>
    <mergeCell ref="N8:O8"/>
    <mergeCell ref="P8:Q8"/>
    <mergeCell ref="R8:S8"/>
    <mergeCell ref="H7:I7"/>
    <mergeCell ref="J7:K7"/>
    <mergeCell ref="L7:M7"/>
    <mergeCell ref="N7:O7"/>
    <mergeCell ref="P7:Q7"/>
    <mergeCell ref="R7:S7"/>
    <mergeCell ref="H9:I9"/>
    <mergeCell ref="J9:K9"/>
    <mergeCell ref="L9:M9"/>
  </mergeCells>
  <conditionalFormatting sqref="A13:C13 A21:C21 A23:C23 A15:C16">
    <cfRule type="expression" dxfId="102" priority="140">
      <formula>AND(ISNUMBER($A13),ISNUMBER($C13),$A13&lt;$C13)</formula>
    </cfRule>
  </conditionalFormatting>
  <conditionalFormatting sqref="D7">
    <cfRule type="expression" dxfId="101" priority="137">
      <formula>$E$7&lt;$D$7</formula>
    </cfRule>
    <cfRule type="expression" dxfId="100" priority="138">
      <formula>$E$7&gt;=$D$7</formula>
    </cfRule>
  </conditionalFormatting>
  <conditionalFormatting sqref="D8:D9">
    <cfRule type="expression" dxfId="99" priority="135">
      <formula>$E8&lt;$D8</formula>
    </cfRule>
    <cfRule type="expression" dxfId="98" priority="136">
      <formula>$E8&gt;$D8</formula>
    </cfRule>
  </conditionalFormatting>
  <conditionalFormatting sqref="D10">
    <cfRule type="expression" dxfId="97" priority="133">
      <formula>$E$10&gt;$D$10</formula>
    </cfRule>
    <cfRule type="expression" dxfId="96" priority="134">
      <formula>$E$10&lt;$D$10</formula>
    </cfRule>
  </conditionalFormatting>
  <conditionalFormatting sqref="A17:C17">
    <cfRule type="expression" dxfId="95" priority="131">
      <formula>AND(ISNUMBER($A17),ISNUMBER($C17),$A17&lt;$C17)</formula>
    </cfRule>
  </conditionalFormatting>
  <conditionalFormatting sqref="A19:C19">
    <cfRule type="expression" dxfId="94" priority="130">
      <formula>AND(ISNUMBER($A19),ISNUMBER($C19),$A19&lt;$C19)</formula>
    </cfRule>
  </conditionalFormatting>
  <conditionalFormatting sqref="C16">
    <cfRule type="expression" dxfId="93" priority="127">
      <formula>AND(ISNUMBER($A16),ISNUMBER($C16),$A16&gt;=$C16)</formula>
    </cfRule>
  </conditionalFormatting>
  <conditionalFormatting sqref="A16">
    <cfRule type="expression" dxfId="92" priority="114">
      <formula>AND(ISNUMBER($A16),ISNUMBER($C16),$A16&gt;=$C16)</formula>
    </cfRule>
  </conditionalFormatting>
  <conditionalFormatting sqref="B16">
    <cfRule type="expression" dxfId="91" priority="101">
      <formula>AND(ISNUMBER($A16),ISNUMBER($C16),$A16&gt;=$C16)</formula>
    </cfRule>
  </conditionalFormatting>
  <conditionalFormatting sqref="A16:D16">
    <cfRule type="expression" dxfId="90" priority="86">
      <formula>$A15="Select colleague"</formula>
    </cfRule>
  </conditionalFormatting>
  <conditionalFormatting sqref="A18:C18">
    <cfRule type="expression" dxfId="89" priority="85">
      <formula>AND(ISNUMBER($A18),ISNUMBER($C18),$A18&lt;$C18)</formula>
    </cfRule>
  </conditionalFormatting>
  <conditionalFormatting sqref="C18">
    <cfRule type="expression" dxfId="88" priority="84">
      <formula>AND(ISNUMBER($A18),ISNUMBER($C18),$A18&gt;=$C18)</formula>
    </cfRule>
  </conditionalFormatting>
  <conditionalFormatting sqref="A18">
    <cfRule type="expression" dxfId="87" priority="83">
      <formula>AND(ISNUMBER($A18),ISNUMBER($C18),$A18&gt;=$C18)</formula>
    </cfRule>
  </conditionalFormatting>
  <conditionalFormatting sqref="B18">
    <cfRule type="expression" dxfId="86" priority="82">
      <formula>AND(ISNUMBER($A18),ISNUMBER($C18),$A18&gt;=$C18)</formula>
    </cfRule>
  </conditionalFormatting>
  <conditionalFormatting sqref="A18:D18">
    <cfRule type="expression" dxfId="85" priority="81">
      <formula>$A17="Select colleague"</formula>
    </cfRule>
  </conditionalFormatting>
  <conditionalFormatting sqref="A27:C27">
    <cfRule type="expression" dxfId="84" priority="79">
      <formula>AND(ISNUMBER($A27),ISNUMBER($C27),$A27&lt;$C27)</formula>
    </cfRule>
  </conditionalFormatting>
  <conditionalFormatting sqref="A25:C25">
    <cfRule type="expression" dxfId="83" priority="78">
      <formula>AND(ISNUMBER($A25),ISNUMBER($C25),$A25&lt;$C25)</formula>
    </cfRule>
  </conditionalFormatting>
  <conditionalFormatting sqref="A29:C29">
    <cfRule type="expression" dxfId="82" priority="77">
      <formula>AND(ISNUMBER($A29),ISNUMBER($C29),$A29&lt;$C29)</formula>
    </cfRule>
  </conditionalFormatting>
  <conditionalFormatting sqref="A31:C31">
    <cfRule type="expression" dxfId="81" priority="76">
      <formula>AND(ISNUMBER($A31),ISNUMBER($C31),$A31&lt;$C31)</formula>
    </cfRule>
  </conditionalFormatting>
  <conditionalFormatting sqref="A33:C33">
    <cfRule type="expression" dxfId="80" priority="75">
      <formula>AND(ISNUMBER($A33),ISNUMBER($C33),$A33&lt;$C33)</formula>
    </cfRule>
  </conditionalFormatting>
  <conditionalFormatting sqref="A35:C35">
    <cfRule type="expression" dxfId="79" priority="74">
      <formula>AND(ISNUMBER($A35),ISNUMBER($C35),$A35&lt;$C35)</formula>
    </cfRule>
  </conditionalFormatting>
  <conditionalFormatting sqref="A37:C37">
    <cfRule type="expression" dxfId="78" priority="73">
      <formula>AND(ISNUMBER($A37),ISNUMBER($C37),$A37&lt;$C37)</formula>
    </cfRule>
  </conditionalFormatting>
  <conditionalFormatting sqref="A39:C39">
    <cfRule type="expression" dxfId="77" priority="72">
      <formula>AND(ISNUMBER($A39),ISNUMBER($C39),$A39&lt;$C39)</formula>
    </cfRule>
  </conditionalFormatting>
  <conditionalFormatting sqref="A20:C20">
    <cfRule type="expression" dxfId="76" priority="71">
      <formula>AND(ISNUMBER($A20),ISNUMBER($C20),$A20&lt;$C20)</formula>
    </cfRule>
  </conditionalFormatting>
  <conditionalFormatting sqref="C20">
    <cfRule type="expression" dxfId="75" priority="70">
      <formula>AND(ISNUMBER($A20),ISNUMBER($C20),$A20&gt;=$C20)</formula>
    </cfRule>
  </conditionalFormatting>
  <conditionalFormatting sqref="A20">
    <cfRule type="expression" dxfId="74" priority="69">
      <formula>AND(ISNUMBER($A20),ISNUMBER($C20),$A20&gt;=$C20)</formula>
    </cfRule>
  </conditionalFormatting>
  <conditionalFormatting sqref="B20">
    <cfRule type="expression" dxfId="73" priority="68">
      <formula>AND(ISNUMBER($A20),ISNUMBER($C20),$A20&gt;=$C20)</formula>
    </cfRule>
  </conditionalFormatting>
  <conditionalFormatting sqref="A20:D20">
    <cfRule type="expression" dxfId="72" priority="67">
      <formula>$A19="Select colleague"</formula>
    </cfRule>
  </conditionalFormatting>
  <conditionalFormatting sqref="A22:C22">
    <cfRule type="expression" dxfId="71" priority="66">
      <formula>AND(ISNUMBER($A22),ISNUMBER($C22),$A22&lt;$C22)</formula>
    </cfRule>
  </conditionalFormatting>
  <conditionalFormatting sqref="C22">
    <cfRule type="expression" dxfId="70" priority="65">
      <formula>AND(ISNUMBER($A22),ISNUMBER($C22),$A22&gt;=$C22)</formula>
    </cfRule>
  </conditionalFormatting>
  <conditionalFormatting sqref="A22">
    <cfRule type="expression" dxfId="69" priority="64">
      <formula>AND(ISNUMBER($A22),ISNUMBER($C22),$A22&gt;=$C22)</formula>
    </cfRule>
  </conditionalFormatting>
  <conditionalFormatting sqref="B22">
    <cfRule type="expression" dxfId="68" priority="63">
      <formula>AND(ISNUMBER($A22),ISNUMBER($C22),$A22&gt;=$C22)</formula>
    </cfRule>
  </conditionalFormatting>
  <conditionalFormatting sqref="A22:D22">
    <cfRule type="expression" dxfId="67" priority="62">
      <formula>$A21="Select colleague"</formula>
    </cfRule>
  </conditionalFormatting>
  <conditionalFormatting sqref="A26:C26">
    <cfRule type="expression" dxfId="66" priority="61">
      <formula>AND(ISNUMBER($A26),ISNUMBER($C26),$A26&lt;$C26)</formula>
    </cfRule>
  </conditionalFormatting>
  <conditionalFormatting sqref="C26">
    <cfRule type="expression" dxfId="65" priority="60">
      <formula>AND(ISNUMBER($A26),ISNUMBER($C26),$A26&gt;=$C26)</formula>
    </cfRule>
  </conditionalFormatting>
  <conditionalFormatting sqref="A26">
    <cfRule type="expression" dxfId="64" priority="59">
      <formula>AND(ISNUMBER($A26),ISNUMBER($C26),$A26&gt;=$C26)</formula>
    </cfRule>
  </conditionalFormatting>
  <conditionalFormatting sqref="B26">
    <cfRule type="expression" dxfId="63" priority="58">
      <formula>AND(ISNUMBER($A26),ISNUMBER($C26),$A26&gt;=$C26)</formula>
    </cfRule>
  </conditionalFormatting>
  <conditionalFormatting sqref="A26:D26">
    <cfRule type="expression" dxfId="62" priority="57">
      <formula>$A25="Select colleague"</formula>
    </cfRule>
  </conditionalFormatting>
  <conditionalFormatting sqref="A28:C28">
    <cfRule type="expression" dxfId="61" priority="56">
      <formula>AND(ISNUMBER($A28),ISNUMBER($C28),$A28&lt;$C28)</formula>
    </cfRule>
  </conditionalFormatting>
  <conditionalFormatting sqref="C28">
    <cfRule type="expression" dxfId="60" priority="55">
      <formula>AND(ISNUMBER($A28),ISNUMBER($C28),$A28&gt;=$C28)</formula>
    </cfRule>
  </conditionalFormatting>
  <conditionalFormatting sqref="A28">
    <cfRule type="expression" dxfId="59" priority="54">
      <formula>AND(ISNUMBER($A28),ISNUMBER($C28),$A28&gt;=$C28)</formula>
    </cfRule>
  </conditionalFormatting>
  <conditionalFormatting sqref="B28">
    <cfRule type="expression" dxfId="58" priority="53">
      <formula>AND(ISNUMBER($A28),ISNUMBER($C28),$A28&gt;=$C28)</formula>
    </cfRule>
  </conditionalFormatting>
  <conditionalFormatting sqref="A28:D28">
    <cfRule type="expression" dxfId="57" priority="52">
      <formula>$A27="Select colleague"</formula>
    </cfRule>
  </conditionalFormatting>
  <conditionalFormatting sqref="A24:C24">
    <cfRule type="expression" dxfId="56" priority="51">
      <formula>AND(ISNUMBER($A24),ISNUMBER($C24),$A24&lt;$C24)</formula>
    </cfRule>
  </conditionalFormatting>
  <conditionalFormatting sqref="C24">
    <cfRule type="expression" dxfId="55" priority="50">
      <formula>AND(ISNUMBER($A24),ISNUMBER($C24),$A24&gt;=$C24)</formula>
    </cfRule>
  </conditionalFormatting>
  <conditionalFormatting sqref="A24">
    <cfRule type="expression" dxfId="54" priority="49">
      <formula>AND(ISNUMBER($A24),ISNUMBER($C24),$A24&gt;=$C24)</formula>
    </cfRule>
  </conditionalFormatting>
  <conditionalFormatting sqref="B24">
    <cfRule type="expression" dxfId="53" priority="48">
      <formula>AND(ISNUMBER($A24),ISNUMBER($C24),$A24&gt;=$C24)</formula>
    </cfRule>
  </conditionalFormatting>
  <conditionalFormatting sqref="A24:D24">
    <cfRule type="expression" dxfId="52" priority="47">
      <formula>$A23="Select colleague"</formula>
    </cfRule>
  </conditionalFormatting>
  <conditionalFormatting sqref="A30:C30">
    <cfRule type="expression" dxfId="51" priority="41">
      <formula>AND(ISNUMBER($A30),ISNUMBER($C30),$A30&lt;$C30)</formula>
    </cfRule>
  </conditionalFormatting>
  <conditionalFormatting sqref="C30">
    <cfRule type="expression" dxfId="50" priority="40">
      <formula>AND(ISNUMBER($A30),ISNUMBER($C30),$A30&gt;=$C30)</formula>
    </cfRule>
  </conditionalFormatting>
  <conditionalFormatting sqref="A30">
    <cfRule type="expression" dxfId="49" priority="39">
      <formula>AND(ISNUMBER($A30),ISNUMBER($C30),$A30&gt;=$C30)</formula>
    </cfRule>
  </conditionalFormatting>
  <conditionalFormatting sqref="B30">
    <cfRule type="expression" dxfId="48" priority="38">
      <formula>AND(ISNUMBER($A30),ISNUMBER($C30),$A30&gt;=$C30)</formula>
    </cfRule>
  </conditionalFormatting>
  <conditionalFormatting sqref="A30:D30">
    <cfRule type="expression" dxfId="47" priority="37">
      <formula>$A29="Select colleague"</formula>
    </cfRule>
  </conditionalFormatting>
  <conditionalFormatting sqref="A32:C32">
    <cfRule type="expression" dxfId="46" priority="36">
      <formula>AND(ISNUMBER($A32),ISNUMBER($C32),$A32&lt;$C32)</formula>
    </cfRule>
  </conditionalFormatting>
  <conditionalFormatting sqref="C32">
    <cfRule type="expression" dxfId="45" priority="35">
      <formula>AND(ISNUMBER($A32),ISNUMBER($C32),$A32&gt;=$C32)</formula>
    </cfRule>
  </conditionalFormatting>
  <conditionalFormatting sqref="A32">
    <cfRule type="expression" dxfId="44" priority="34">
      <formula>AND(ISNUMBER($A32),ISNUMBER($C32),$A32&gt;=$C32)</formula>
    </cfRule>
  </conditionalFormatting>
  <conditionalFormatting sqref="B32">
    <cfRule type="expression" dxfId="43" priority="33">
      <formula>AND(ISNUMBER($A32),ISNUMBER($C32),$A32&gt;=$C32)</formula>
    </cfRule>
  </conditionalFormatting>
  <conditionalFormatting sqref="A32:D32">
    <cfRule type="expression" dxfId="42" priority="32">
      <formula>$A31="Select colleague"</formula>
    </cfRule>
  </conditionalFormatting>
  <conditionalFormatting sqref="A34:C34">
    <cfRule type="expression" dxfId="41" priority="31">
      <formula>AND(ISNUMBER($A34),ISNUMBER($C34),$A34&lt;$C34)</formula>
    </cfRule>
  </conditionalFormatting>
  <conditionalFormatting sqref="C34">
    <cfRule type="expression" dxfId="40" priority="30">
      <formula>AND(ISNUMBER($A34),ISNUMBER($C34),$A34&gt;=$C34)</formula>
    </cfRule>
  </conditionalFormatting>
  <conditionalFormatting sqref="A34">
    <cfRule type="expression" dxfId="39" priority="29">
      <formula>AND(ISNUMBER($A34),ISNUMBER($C34),$A34&gt;=$C34)</formula>
    </cfRule>
  </conditionalFormatting>
  <conditionalFormatting sqref="B34">
    <cfRule type="expression" dxfId="38" priority="28">
      <formula>AND(ISNUMBER($A34),ISNUMBER($C34),$A34&gt;=$C34)</formula>
    </cfRule>
  </conditionalFormatting>
  <conditionalFormatting sqref="A34:D34">
    <cfRule type="expression" dxfId="37" priority="27">
      <formula>$A33="Select colleague"</formula>
    </cfRule>
  </conditionalFormatting>
  <conditionalFormatting sqref="A36:C36">
    <cfRule type="expression" dxfId="36" priority="26">
      <formula>AND(ISNUMBER($A36),ISNUMBER($C36),$A36&lt;$C36)</formula>
    </cfRule>
  </conditionalFormatting>
  <conditionalFormatting sqref="C36">
    <cfRule type="expression" dxfId="35" priority="25">
      <formula>AND(ISNUMBER($A36),ISNUMBER($C36),$A36&gt;=$C36)</formula>
    </cfRule>
  </conditionalFormatting>
  <conditionalFormatting sqref="A36">
    <cfRule type="expression" dxfId="34" priority="24">
      <formula>AND(ISNUMBER($A36),ISNUMBER($C36),$A36&gt;=$C36)</formula>
    </cfRule>
  </conditionalFormatting>
  <conditionalFormatting sqref="B36">
    <cfRule type="expression" dxfId="33" priority="23">
      <formula>AND(ISNUMBER($A36),ISNUMBER($C36),$A36&gt;=$C36)</formula>
    </cfRule>
  </conditionalFormatting>
  <conditionalFormatting sqref="A36:D36">
    <cfRule type="expression" dxfId="32" priority="22">
      <formula>$A35="Select colleague"</formula>
    </cfRule>
  </conditionalFormatting>
  <conditionalFormatting sqref="A38:C38">
    <cfRule type="expression" dxfId="31" priority="21">
      <formula>AND(ISNUMBER($A38),ISNUMBER($C38),$A38&lt;$C38)</formula>
    </cfRule>
  </conditionalFormatting>
  <conditionalFormatting sqref="C38">
    <cfRule type="expression" dxfId="30" priority="20">
      <formula>AND(ISNUMBER($A38),ISNUMBER($C38),$A38&gt;=$C38)</formula>
    </cfRule>
  </conditionalFormatting>
  <conditionalFormatting sqref="A38">
    <cfRule type="expression" dxfId="29" priority="19">
      <formula>AND(ISNUMBER($A38),ISNUMBER($C38),$A38&gt;=$C38)</formula>
    </cfRule>
  </conditionalFormatting>
  <conditionalFormatting sqref="B38">
    <cfRule type="expression" dxfId="28" priority="18">
      <formula>AND(ISNUMBER($A38),ISNUMBER($C38),$A38&gt;=$C38)</formula>
    </cfRule>
  </conditionalFormatting>
  <conditionalFormatting sqref="A38:D38">
    <cfRule type="expression" dxfId="27" priority="17">
      <formula>$A37="Select colleague"</formula>
    </cfRule>
  </conditionalFormatting>
  <conditionalFormatting sqref="A40:C40">
    <cfRule type="expression" dxfId="26" priority="16">
      <formula>AND(ISNUMBER($A40),ISNUMBER($C40),$A40&lt;$C40)</formula>
    </cfRule>
  </conditionalFormatting>
  <conditionalFormatting sqref="C40">
    <cfRule type="expression" dxfId="25" priority="15">
      <formula>AND(ISNUMBER($A40),ISNUMBER($C40),$A40&gt;=$C40)</formula>
    </cfRule>
  </conditionalFormatting>
  <conditionalFormatting sqref="A40">
    <cfRule type="expression" dxfId="24" priority="14">
      <formula>AND(ISNUMBER($A40),ISNUMBER($C40),$A40&gt;=$C40)</formula>
    </cfRule>
  </conditionalFormatting>
  <conditionalFormatting sqref="B40">
    <cfRule type="expression" dxfId="23" priority="13">
      <formula>AND(ISNUMBER($A40),ISNUMBER($C40),$A40&gt;=$C40)</formula>
    </cfRule>
  </conditionalFormatting>
  <conditionalFormatting sqref="A40:D40">
    <cfRule type="expression" dxfId="22" priority="12">
      <formula>$A39="Select colleague"</formula>
    </cfRule>
  </conditionalFormatting>
  <conditionalFormatting sqref="A14:C14">
    <cfRule type="expression" dxfId="21" priority="11">
      <formula>AND(ISNUMBER($A14),ISNUMBER($C14),$A14&lt;$C14)</formula>
    </cfRule>
  </conditionalFormatting>
  <conditionalFormatting sqref="C14">
    <cfRule type="expression" dxfId="20" priority="10">
      <formula>AND(ISNUMBER($A14),ISNUMBER($C14),$A14&gt;=$C14)</formula>
    </cfRule>
  </conditionalFormatting>
  <conditionalFormatting sqref="A14">
    <cfRule type="expression" dxfId="19" priority="9">
      <formula>AND(ISNUMBER($A14),ISNUMBER($C14),$A14&gt;=$C14)</formula>
    </cfRule>
  </conditionalFormatting>
  <conditionalFormatting sqref="B14">
    <cfRule type="expression" dxfId="18" priority="8">
      <formula>AND(ISNUMBER($A14),ISNUMBER($C14),$A14&gt;=$C14)</formula>
    </cfRule>
  </conditionalFormatting>
  <conditionalFormatting sqref="A14:D14">
    <cfRule type="expression" dxfId="17" priority="7">
      <formula>$A13="Select colleague"</formula>
    </cfRule>
  </conditionalFormatting>
  <conditionalFormatting sqref="A12:C12">
    <cfRule type="expression" dxfId="16" priority="6">
      <formula>AND(ISNUMBER($A12),ISNUMBER($C12),$A12&lt;$C12)</formula>
    </cfRule>
  </conditionalFormatting>
  <conditionalFormatting sqref="C12">
    <cfRule type="expression" dxfId="15" priority="5">
      <formula>AND(ISNUMBER($A12),ISNUMBER($C12),$A12&gt;=$C12)</formula>
    </cfRule>
  </conditionalFormatting>
  <conditionalFormatting sqref="A12">
    <cfRule type="expression" dxfId="14" priority="4">
      <formula>AND(ISNUMBER($A12),ISNUMBER($C12),$A12&gt;=$C12)</formula>
    </cfRule>
  </conditionalFormatting>
  <conditionalFormatting sqref="B12">
    <cfRule type="expression" dxfId="13" priority="3">
      <formula>AND(ISNUMBER($A12),ISNUMBER($C12),$A12&gt;=$C12)</formula>
    </cfRule>
  </conditionalFormatting>
  <conditionalFormatting sqref="A12:D12">
    <cfRule type="expression" dxfId="12" priority="2">
      <formula>$A11="Select colleague"</formula>
    </cfRule>
  </conditionalFormatting>
  <conditionalFormatting sqref="E11:E40">
    <cfRule type="expression" dxfId="11" priority="1">
      <formula>$A11="Select colleague"</formula>
    </cfRule>
  </conditionalFormatting>
  <pageMargins left="0.7" right="0.7" top="0.75" bottom="0.75" header="0.3" footer="0.3"/>
  <pageSetup paperSize="9" orientation="portrait" verticalDpi="0" r:id="rId1"/>
  <ignoredErrors>
    <ignoredError sqref="F8 H8:S8 G9" formulaRange="1"/>
  </ignoredErrors>
  <drawing r:id="rId2"/>
  <extLst>
    <ext xmlns:x14="http://schemas.microsoft.com/office/spreadsheetml/2009/9/main" uri="{78C0D931-6437-407d-A8EE-F0AAD7539E65}">
      <x14:conditionalFormattings>
        <x14:conditionalFormatting xmlns:xm="http://schemas.microsoft.com/office/excel/2006/main">
          <x14:cfRule type="expression" priority="142" id="{7EAB4303-FB26-4A67-BAE8-9A27FB1CBA9D}">
            <xm:f>F11=Config!$D$11</xm:f>
            <x14:dxf>
              <fill>
                <patternFill>
                  <bgColor rgb="FFA895F5"/>
                </patternFill>
              </fill>
            </x14:dxf>
          </x14:cfRule>
          <x14:cfRule type="expression" priority="143" id="{FF46BFB6-D6B5-4EC7-AA65-6138662E09DC}">
            <xm:f>F11=Config!$D$10</xm:f>
            <x14:dxf>
              <fill>
                <patternFill>
                  <bgColor rgb="FF5FC594"/>
                </patternFill>
              </fill>
            </x14:dxf>
          </x14:cfRule>
          <x14:cfRule type="expression" priority="144" id="{5B1E9637-5031-4F2F-9731-339E7143D1E9}">
            <xm:f>F11=Config!$D$9</xm:f>
            <x14:dxf>
              <fill>
                <patternFill>
                  <bgColor rgb="FFE56FA7"/>
                </patternFill>
              </fill>
            </x14:dxf>
          </x14:cfRule>
          <x14:cfRule type="expression" priority="145" id="{302D1C58-C970-48D9-99C7-2DD0802B377B}">
            <xm:f>F11=Config!$D$8</xm:f>
            <x14:dxf>
              <fill>
                <patternFill>
                  <bgColor rgb="FFFED664"/>
                </patternFill>
              </fill>
            </x14:dxf>
          </x14:cfRule>
          <x14:cfRule type="expression" priority="146" id="{0BE8BF3C-92C9-41D3-832B-0F2BB16166F2}">
            <xm:f>F11=Config!$D$7</xm:f>
            <x14:dxf>
              <fill>
                <patternFill>
                  <bgColor rgb="FFFD6D66"/>
                </patternFill>
              </fill>
            </x14:dxf>
          </x14:cfRule>
          <x14:cfRule type="expression" priority="147" id="{21AC7CD2-B07C-42EA-BC19-47DF7B4E881E}">
            <xm:f>F11=Config!$D$6</xm:f>
            <x14:dxf>
              <fill>
                <patternFill>
                  <bgColor rgb="FFA895F5"/>
                </patternFill>
              </fill>
            </x14:dxf>
          </x14:cfRule>
          <x14:cfRule type="expression" priority="148" id="{BC444080-918C-4C94-8A74-97351EE01F52}">
            <xm:f>F11=Config!$D$5</xm:f>
            <x14:dxf>
              <fill>
                <patternFill>
                  <bgColor rgb="FF5FC594"/>
                </patternFill>
              </fill>
            </x14:dxf>
          </x14:cfRule>
          <x14:cfRule type="expression" priority="149" id="{780BF4C9-283C-489C-9BE5-98C7709B158F}">
            <xm:f>F11=Config!$D$4</xm:f>
            <x14:dxf>
              <fill>
                <patternFill>
                  <bgColor rgb="FFE56FA7"/>
                </patternFill>
              </fill>
            </x14:dxf>
          </x14:cfRule>
          <x14:cfRule type="expression" priority="150" id="{53FDC392-9F8B-4A97-92CE-BF92F06E94CB}">
            <xm:f>F11=Config!$D$3</xm:f>
            <x14:dxf>
              <fill>
                <patternFill>
                  <bgColor rgb="FFFED664"/>
                </patternFill>
              </fill>
            </x14:dxf>
          </x14:cfRule>
          <x14:cfRule type="expression" priority="151" id="{49F5B04D-4CC7-41AE-ABCF-F5195632FE0B}">
            <xm:f>F11=Config!$D$2</xm:f>
            <x14:dxf>
              <fill>
                <patternFill>
                  <bgColor rgb="FFFD6D66"/>
                </patternFill>
              </fill>
            </x14:dxf>
          </x14:cfRule>
          <x14:cfRule type="expression" priority="152" id="{C874F18D-7E76-479B-A5FB-4124A6FAE431}">
            <xm:f>COUNTIFS(Config!$D$12:$D$15,F11)=1</xm:f>
            <x14:dxf>
              <font>
                <color theme="0"/>
              </font>
              <fill>
                <patternFill>
                  <bgColor theme="0" tint="-0.34998626667073579"/>
                </patternFill>
              </fill>
            </x14:dxf>
          </x14:cfRule>
          <xm:sqref>F11:S40</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promptTitle="Start" xr:uid="{31F8E716-F7D4-E947-A8E3-026416BF1CDF}">
          <x14:formula1>
            <xm:f>Config!$A$3:$A$50</xm:f>
          </x14:formula1>
          <xm:sqref>R40 P12 L12 F38 F14 H12 P38 P14 H38 J38 L38 P40 N40 N38 N14 R12 R14 H14 J14 L14 N12 P16 H16 J16 L16 N16 R16 F16 P18 H18 J18 L18 N18 R18 F20 P20 J12 J20 L20 N20 R20 F22 P22 H22 J22 L22 N22 R22 F24 P24 H24 J24 L24 N24 R24 F26 P26 H26 J26 L26 N26 R26 F28 P28 H28 J28 L28 N28 R28 F30 P30 H30 J30 L30 N30 R30 F32 P32 H32 J32 L32 N32 R32 F34 P34 H34 J34 L34 N34 R34 F36 P36 H36 J36 L36 N36 R36 R38 F40 H20 H40 J40 L40 F18 F12</xm:sqref>
        </x14:dataValidation>
        <x14:dataValidation type="list" allowBlank="1" showInputMessage="1" promptTitle="End" xr:uid="{0EB7AA64-19A2-D643-910F-035B4AB780FB}">
          <x14:formula1>
            <xm:f>Config!$A$3:$A$50</xm:f>
          </x14:formula1>
          <xm:sqref>S40 Q12 M12 G38 G14 I12 Q38 O14 I38 K38 M38 Q40 O40 O38 Q14 S12 S14 I14 K14 M14 O12 Q16 I16 K16 M16 O16 S16 G16 Q18 I18 K18 M18 O18 S18 G20 Q20 K12 K20 M20 O20 S20 G22 Q22 I22 K22 M22 O22 S22 G24 Q24 I24 K24 M24 O24 S24 G26 Q26 I26 K26 M26 O26 S26 G28 Q28 I28 K28 M28 O28 S28 G30 Q30 I30 K30 M30 O30 S30 G32 Q32 I32 K32 M32 O32 S32 G34 Q34 I34 K34 M34 O34 S34 G36 Q36 I36 K36 M36 O36 S36 S38 G40 I20 I40 K40 M40 G18 G12</xm:sqref>
        </x14:dataValidation>
        <x14:dataValidation type="list" allowBlank="1" showInputMessage="1" showErrorMessage="1" xr:uid="{53C00B1E-E1E7-DF4F-AD5C-DB2DDCF6502E}">
          <x14:formula1>
            <xm:f>Config!$F$2:$F$17</xm:f>
          </x14:formula1>
          <xm:sqref>A13:D13 A15:D15 A11:D11 A17:D17 A21:D21 A23:D23 A19:D19 A27:D27 A25:D25 A29:D29 A31:D31 A33:D33 A35:D35 A37:D37 A39:D39</xm:sqref>
        </x14:dataValidation>
        <x14:dataValidation type="list" allowBlank="1" showInputMessage="1" showErrorMessage="1" xr:uid="{981ABBA3-45BC-458D-BAA2-562FF7FA59B8}">
          <x14:formula1>
            <xm:f>Config!$K$2:$K$8</xm:f>
          </x14:formula1>
          <xm:sqref>AA4</xm:sqref>
        </x14:dataValidation>
        <x14:dataValidation type="list" allowBlank="1" showInputMessage="1" showErrorMessage="1" xr:uid="{96B174FC-FDD1-4E0F-BFCA-6D8D93CEB8E7}">
          <x14:formula1>
            <xm:f>Config!$D$2:$D$15</xm:f>
          </x14:formula1>
          <xm:sqref>F19:S19 F13:S13 F15:S15 F17:S17 F39:S39 F21:S21 F23:S23 F25:S25 F27:S27 F29:S29 F31:S31 F33:S33 F35:S35 F37:S37 F11:S11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2CD92-C4AA-4E25-8524-109E16CEB8F0}">
  <dimension ref="A1:J52"/>
  <sheetViews>
    <sheetView workbookViewId="0">
      <selection activeCell="E27" sqref="E27"/>
    </sheetView>
  </sheetViews>
  <sheetFormatPr defaultColWidth="8.875" defaultRowHeight="15.95"/>
  <sheetData>
    <row r="1" spans="1:10">
      <c r="A1" t="s">
        <v>24</v>
      </c>
      <c r="B1" s="19">
        <f>Rota!AA4</f>
        <v>43773</v>
      </c>
      <c r="C1">
        <f>MATCH(B1,Rota!F5:S5,0)</f>
        <v>1</v>
      </c>
      <c r="D1" t="str">
        <f>CHOOSE(C1,"F","G","H","I","J","K","L","M","N","O","P","Q","R","S")</f>
        <v>F</v>
      </c>
      <c r="E1" t="str">
        <f>CHOOSE(C1+1,"F","G","H","I","J","K","L","M","N","O","P","Q","R","S")</f>
        <v>G</v>
      </c>
      <c r="F1" t="str">
        <f>"Rota!"&amp;D1&amp;"11:"&amp;D1&amp;40</f>
        <v>Rota!F11:F40</v>
      </c>
      <c r="G1" t="str">
        <f>"Rota!"&amp;E1&amp;"11:"&amp;E1&amp;40</f>
        <v>Rota!G11:G40</v>
      </c>
      <c r="I1" s="4">
        <f>Settings!K2</f>
        <v>0.29166666666666663</v>
      </c>
      <c r="J1" s="4">
        <f>Settings!K3</f>
        <v>0.87500000000000044</v>
      </c>
    </row>
    <row r="3" spans="1:10">
      <c r="A3" s="12" t="s">
        <v>25</v>
      </c>
      <c r="B3" s="17" t="s">
        <v>26</v>
      </c>
      <c r="C3" s="13" t="s">
        <v>27</v>
      </c>
    </row>
    <row r="4" spans="1:10">
      <c r="A4" s="14">
        <f>Settings!K2</f>
        <v>0.29166666666666663</v>
      </c>
      <c r="B4" s="18">
        <f t="shared" ref="B4:B51" si="0">IF(A4&gt;($J$1+(1/1440)),"",A4)</f>
        <v>0.29166666666666663</v>
      </c>
      <c r="C4" s="16">
        <f t="shared" ref="C4:C25" ca="1" si="1">IF(B4="","",COUNTIFS(INDIRECT($G$1),"&gt;"&amp;A4,INDIRECT($F$1),"&lt;="&amp;A4))</f>
        <v>0</v>
      </c>
      <c r="J4" s="4"/>
    </row>
    <row r="5" spans="1:10">
      <c r="A5" s="15">
        <f>A4+1/48</f>
        <v>0.31249999999999994</v>
      </c>
      <c r="B5" s="18">
        <f t="shared" si="0"/>
        <v>0.31249999999999994</v>
      </c>
      <c r="C5" s="16">
        <f t="shared" ca="1" si="1"/>
        <v>0</v>
      </c>
    </row>
    <row r="6" spans="1:10">
      <c r="A6" s="15">
        <f t="shared" ref="A6:A51" si="2">A5+1/48</f>
        <v>0.33333333333333326</v>
      </c>
      <c r="B6" s="18">
        <f t="shared" si="0"/>
        <v>0.33333333333333326</v>
      </c>
      <c r="C6" s="16">
        <f t="shared" ca="1" si="1"/>
        <v>0</v>
      </c>
    </row>
    <row r="7" spans="1:10">
      <c r="A7" s="15">
        <f t="shared" si="2"/>
        <v>0.35416666666666657</v>
      </c>
      <c r="B7" s="18">
        <f t="shared" si="0"/>
        <v>0.35416666666666657</v>
      </c>
      <c r="C7" s="16">
        <f t="shared" ca="1" si="1"/>
        <v>0</v>
      </c>
    </row>
    <row r="8" spans="1:10">
      <c r="A8" s="15">
        <f t="shared" si="2"/>
        <v>0.37499999999999989</v>
      </c>
      <c r="B8" s="18">
        <f t="shared" si="0"/>
        <v>0.37499999999999989</v>
      </c>
      <c r="C8" s="16">
        <f t="shared" ca="1" si="1"/>
        <v>0</v>
      </c>
    </row>
    <row r="9" spans="1:10">
      <c r="A9" s="15">
        <f t="shared" si="2"/>
        <v>0.3958333333333332</v>
      </c>
      <c r="B9" s="18">
        <f t="shared" si="0"/>
        <v>0.3958333333333332</v>
      </c>
      <c r="C9" s="16">
        <f t="shared" ca="1" si="1"/>
        <v>0</v>
      </c>
    </row>
    <row r="10" spans="1:10">
      <c r="A10" s="15">
        <f t="shared" si="2"/>
        <v>0.41666666666666652</v>
      </c>
      <c r="B10" s="18">
        <f t="shared" si="0"/>
        <v>0.41666666666666652</v>
      </c>
      <c r="C10" s="16">
        <f t="shared" ca="1" si="1"/>
        <v>1</v>
      </c>
    </row>
    <row r="11" spans="1:10">
      <c r="A11" s="15">
        <f t="shared" si="2"/>
        <v>0.43749999999999983</v>
      </c>
      <c r="B11" s="18">
        <f t="shared" si="0"/>
        <v>0.43749999999999983</v>
      </c>
      <c r="C11" s="16">
        <f t="shared" ca="1" si="1"/>
        <v>1</v>
      </c>
    </row>
    <row r="12" spans="1:10">
      <c r="A12" s="15">
        <f t="shared" si="2"/>
        <v>0.45833333333333315</v>
      </c>
      <c r="B12" s="18">
        <f t="shared" si="0"/>
        <v>0.45833333333333315</v>
      </c>
      <c r="C12" s="16">
        <f t="shared" ca="1" si="1"/>
        <v>1</v>
      </c>
    </row>
    <row r="13" spans="1:10">
      <c r="A13" s="15">
        <f t="shared" si="2"/>
        <v>0.47916666666666646</v>
      </c>
      <c r="B13" s="18">
        <f t="shared" si="0"/>
        <v>0.47916666666666646</v>
      </c>
      <c r="C13" s="16">
        <f t="shared" ca="1" si="1"/>
        <v>1</v>
      </c>
    </row>
    <row r="14" spans="1:10">
      <c r="A14" s="15">
        <f t="shared" si="2"/>
        <v>0.49999999999999978</v>
      </c>
      <c r="B14" s="18">
        <f t="shared" si="0"/>
        <v>0.49999999999999978</v>
      </c>
      <c r="C14" s="16">
        <f t="shared" ca="1" si="1"/>
        <v>1</v>
      </c>
    </row>
    <row r="15" spans="1:10">
      <c r="A15" s="15">
        <f t="shared" si="2"/>
        <v>0.52083333333333315</v>
      </c>
      <c r="B15" s="18">
        <f t="shared" si="0"/>
        <v>0.52083333333333315</v>
      </c>
      <c r="C15" s="16">
        <f t="shared" ca="1" si="1"/>
        <v>1</v>
      </c>
    </row>
    <row r="16" spans="1:10">
      <c r="A16" s="15">
        <f t="shared" si="2"/>
        <v>0.54166666666666652</v>
      </c>
      <c r="B16" s="18">
        <f t="shared" si="0"/>
        <v>0.54166666666666652</v>
      </c>
      <c r="C16" s="16">
        <f t="shared" ca="1" si="1"/>
        <v>1</v>
      </c>
    </row>
    <row r="17" spans="1:3">
      <c r="A17" s="15">
        <f t="shared" si="2"/>
        <v>0.56249999999999989</v>
      </c>
      <c r="B17" s="18">
        <f t="shared" si="0"/>
        <v>0.56249999999999989</v>
      </c>
      <c r="C17" s="16">
        <f t="shared" ca="1" si="1"/>
        <v>1</v>
      </c>
    </row>
    <row r="18" spans="1:3">
      <c r="A18" s="15">
        <f t="shared" si="2"/>
        <v>0.58333333333333326</v>
      </c>
      <c r="B18" s="18">
        <f t="shared" si="0"/>
        <v>0.58333333333333326</v>
      </c>
      <c r="C18" s="16">
        <f t="shared" ca="1" si="1"/>
        <v>1</v>
      </c>
    </row>
    <row r="19" spans="1:3">
      <c r="A19" s="15">
        <f t="shared" si="2"/>
        <v>0.60416666666666663</v>
      </c>
      <c r="B19" s="18">
        <f t="shared" si="0"/>
        <v>0.60416666666666663</v>
      </c>
      <c r="C19" s="16">
        <f t="shared" ca="1" si="1"/>
        <v>1</v>
      </c>
    </row>
    <row r="20" spans="1:3">
      <c r="A20" s="15">
        <f t="shared" si="2"/>
        <v>0.625</v>
      </c>
      <c r="B20" s="18">
        <f t="shared" si="0"/>
        <v>0.625</v>
      </c>
      <c r="C20" s="16">
        <f t="shared" ca="1" si="1"/>
        <v>1</v>
      </c>
    </row>
    <row r="21" spans="1:3">
      <c r="A21" s="15">
        <f t="shared" si="2"/>
        <v>0.64583333333333337</v>
      </c>
      <c r="B21" s="18">
        <f t="shared" si="0"/>
        <v>0.64583333333333337</v>
      </c>
      <c r="C21" s="16">
        <f t="shared" ca="1" si="1"/>
        <v>1</v>
      </c>
    </row>
    <row r="22" spans="1:3">
      <c r="A22" s="15">
        <f t="shared" si="2"/>
        <v>0.66666666666666674</v>
      </c>
      <c r="B22" s="18">
        <f t="shared" si="0"/>
        <v>0.66666666666666674</v>
      </c>
      <c r="C22" s="16">
        <f t="shared" ca="1" si="1"/>
        <v>1</v>
      </c>
    </row>
    <row r="23" spans="1:3">
      <c r="A23" s="15">
        <f t="shared" si="2"/>
        <v>0.68750000000000011</v>
      </c>
      <c r="B23" s="18">
        <f t="shared" si="0"/>
        <v>0.68750000000000011</v>
      </c>
      <c r="C23" s="16">
        <f t="shared" ca="1" si="1"/>
        <v>1</v>
      </c>
    </row>
    <row r="24" spans="1:3">
      <c r="A24" s="15">
        <f t="shared" si="2"/>
        <v>0.70833333333333348</v>
      </c>
      <c r="B24" s="18">
        <f t="shared" si="0"/>
        <v>0.70833333333333348</v>
      </c>
      <c r="C24" s="16">
        <f t="shared" ca="1" si="1"/>
        <v>1</v>
      </c>
    </row>
    <row r="25" spans="1:3">
      <c r="A25" s="15">
        <f t="shared" si="2"/>
        <v>0.72916666666666685</v>
      </c>
      <c r="B25" s="18">
        <f t="shared" si="0"/>
        <v>0.72916666666666685</v>
      </c>
      <c r="C25" s="16">
        <f t="shared" ca="1" si="1"/>
        <v>1</v>
      </c>
    </row>
    <row r="26" spans="1:3">
      <c r="A26" s="15">
        <f t="shared" si="2"/>
        <v>0.75000000000000022</v>
      </c>
      <c r="B26" s="18">
        <f t="shared" si="0"/>
        <v>0.75000000000000022</v>
      </c>
      <c r="C26" s="16">
        <f ca="1">IF(B26="","",COUNTIFS(INDIRECT($G$1),"&gt;"&amp;A26,INDIRECT($F$1),"&lt;="&amp;A26))</f>
        <v>1</v>
      </c>
    </row>
    <row r="27" spans="1:3">
      <c r="A27" s="15">
        <f t="shared" si="2"/>
        <v>0.77083333333333359</v>
      </c>
      <c r="B27" s="18">
        <f t="shared" si="0"/>
        <v>0.77083333333333359</v>
      </c>
      <c r="C27" s="16">
        <f t="shared" ref="C27:C32" ca="1" si="3">IF(B27="","",COUNTIFS(INDIRECT($G$1),"&gt;"&amp;A27,INDIRECT($F$1),"&lt;="&amp;A27))</f>
        <v>1</v>
      </c>
    </row>
    <row r="28" spans="1:3">
      <c r="A28" s="15">
        <f t="shared" si="2"/>
        <v>0.79166666666666696</v>
      </c>
      <c r="B28" s="18">
        <f t="shared" si="0"/>
        <v>0.79166666666666696</v>
      </c>
      <c r="C28" s="16">
        <f t="shared" ca="1" si="3"/>
        <v>1</v>
      </c>
    </row>
    <row r="29" spans="1:3">
      <c r="A29" s="15">
        <f t="shared" si="2"/>
        <v>0.81250000000000033</v>
      </c>
      <c r="B29" s="18">
        <f t="shared" si="0"/>
        <v>0.81250000000000033</v>
      </c>
      <c r="C29" s="16">
        <f t="shared" ca="1" si="3"/>
        <v>1</v>
      </c>
    </row>
    <row r="30" spans="1:3">
      <c r="A30" s="15">
        <f t="shared" si="2"/>
        <v>0.8333333333333337</v>
      </c>
      <c r="B30" s="18">
        <f t="shared" si="0"/>
        <v>0.8333333333333337</v>
      </c>
      <c r="C30" s="16">
        <f t="shared" ca="1" si="3"/>
        <v>1</v>
      </c>
    </row>
    <row r="31" spans="1:3">
      <c r="A31" s="15">
        <f t="shared" si="2"/>
        <v>0.85416666666666707</v>
      </c>
      <c r="B31" s="18">
        <f t="shared" si="0"/>
        <v>0.85416666666666707</v>
      </c>
      <c r="C31" s="16">
        <f t="shared" ca="1" si="3"/>
        <v>1</v>
      </c>
    </row>
    <row r="32" spans="1:3">
      <c r="A32" s="15">
        <f t="shared" si="2"/>
        <v>0.87500000000000044</v>
      </c>
      <c r="B32" s="18">
        <f t="shared" si="0"/>
        <v>0.87500000000000044</v>
      </c>
      <c r="C32" s="16">
        <f t="shared" ca="1" si="3"/>
        <v>1</v>
      </c>
    </row>
    <row r="33" spans="1:3">
      <c r="A33" s="15">
        <f t="shared" si="2"/>
        <v>0.89583333333333381</v>
      </c>
      <c r="B33" s="18" t="str">
        <f t="shared" si="0"/>
        <v/>
      </c>
      <c r="C33" s="16" t="str">
        <f t="shared" ref="C33:C51" ca="1" si="4">IF(B33="","",COUNTIFS(INDIRECT($G$1),"&gt;="&amp;A33,INDIRECT($F$1),"&lt;="&amp;A33))</f>
        <v/>
      </c>
    </row>
    <row r="34" spans="1:3">
      <c r="A34" s="15">
        <f t="shared" si="2"/>
        <v>0.91666666666666718</v>
      </c>
      <c r="B34" s="18" t="str">
        <f t="shared" si="0"/>
        <v/>
      </c>
      <c r="C34" s="16" t="str">
        <f t="shared" ca="1" si="4"/>
        <v/>
      </c>
    </row>
    <row r="35" spans="1:3">
      <c r="A35" s="15">
        <f t="shared" si="2"/>
        <v>0.93750000000000056</v>
      </c>
      <c r="B35" s="18" t="str">
        <f t="shared" si="0"/>
        <v/>
      </c>
      <c r="C35" s="16" t="str">
        <f t="shared" ca="1" si="4"/>
        <v/>
      </c>
    </row>
    <row r="36" spans="1:3">
      <c r="A36" s="15">
        <f t="shared" si="2"/>
        <v>0.95833333333333393</v>
      </c>
      <c r="B36" s="18" t="str">
        <f t="shared" si="0"/>
        <v/>
      </c>
      <c r="C36" s="16" t="str">
        <f t="shared" ca="1" si="4"/>
        <v/>
      </c>
    </row>
    <row r="37" spans="1:3">
      <c r="A37" s="15">
        <f t="shared" si="2"/>
        <v>0.9791666666666673</v>
      </c>
      <c r="B37" s="18" t="str">
        <f t="shared" si="0"/>
        <v/>
      </c>
      <c r="C37" s="16" t="str">
        <f t="shared" ca="1" si="4"/>
        <v/>
      </c>
    </row>
    <row r="38" spans="1:3">
      <c r="A38" s="15">
        <f t="shared" si="2"/>
        <v>1.0000000000000007</v>
      </c>
      <c r="B38" s="18" t="str">
        <f t="shared" si="0"/>
        <v/>
      </c>
      <c r="C38" s="16" t="str">
        <f t="shared" ca="1" si="4"/>
        <v/>
      </c>
    </row>
    <row r="39" spans="1:3">
      <c r="A39" s="15">
        <f t="shared" si="2"/>
        <v>1.0208333333333339</v>
      </c>
      <c r="B39" s="18" t="str">
        <f t="shared" si="0"/>
        <v/>
      </c>
      <c r="C39" s="16" t="str">
        <f t="shared" ca="1" si="4"/>
        <v/>
      </c>
    </row>
    <row r="40" spans="1:3">
      <c r="A40" s="15">
        <f t="shared" si="2"/>
        <v>1.0416666666666672</v>
      </c>
      <c r="B40" s="18" t="str">
        <f t="shared" si="0"/>
        <v/>
      </c>
      <c r="C40" s="16" t="str">
        <f t="shared" ca="1" si="4"/>
        <v/>
      </c>
    </row>
    <row r="41" spans="1:3">
      <c r="A41" s="15">
        <f>A40+1/48</f>
        <v>1.0625000000000004</v>
      </c>
      <c r="B41" s="18" t="str">
        <f t="shared" si="0"/>
        <v/>
      </c>
      <c r="C41" s="16" t="str">
        <f t="shared" ca="1" si="4"/>
        <v/>
      </c>
    </row>
    <row r="42" spans="1:3">
      <c r="A42" s="15">
        <f t="shared" si="2"/>
        <v>1.0833333333333337</v>
      </c>
      <c r="B42" s="18" t="str">
        <f t="shared" si="0"/>
        <v/>
      </c>
      <c r="C42" s="16" t="str">
        <f t="shared" ca="1" si="4"/>
        <v/>
      </c>
    </row>
    <row r="43" spans="1:3">
      <c r="A43" s="15">
        <f t="shared" si="2"/>
        <v>1.104166666666667</v>
      </c>
      <c r="B43" s="18" t="str">
        <f t="shared" si="0"/>
        <v/>
      </c>
      <c r="C43" s="16" t="str">
        <f t="shared" ca="1" si="4"/>
        <v/>
      </c>
    </row>
    <row r="44" spans="1:3">
      <c r="A44" s="15">
        <f t="shared" si="2"/>
        <v>1.1250000000000002</v>
      </c>
      <c r="B44" s="18" t="str">
        <f t="shared" si="0"/>
        <v/>
      </c>
      <c r="C44" s="16" t="str">
        <f t="shared" ca="1" si="4"/>
        <v/>
      </c>
    </row>
    <row r="45" spans="1:3">
      <c r="A45" s="15">
        <f t="shared" si="2"/>
        <v>1.1458333333333335</v>
      </c>
      <c r="B45" s="18" t="str">
        <f t="shared" si="0"/>
        <v/>
      </c>
      <c r="C45" s="16" t="str">
        <f t="shared" ca="1" si="4"/>
        <v/>
      </c>
    </row>
    <row r="46" spans="1:3">
      <c r="A46" s="15">
        <f t="shared" si="2"/>
        <v>1.1666666666666667</v>
      </c>
      <c r="B46" s="18" t="str">
        <f t="shared" si="0"/>
        <v/>
      </c>
      <c r="C46" s="16" t="str">
        <f t="shared" ca="1" si="4"/>
        <v/>
      </c>
    </row>
    <row r="47" spans="1:3">
      <c r="A47" s="15">
        <f t="shared" si="2"/>
        <v>1.1875</v>
      </c>
      <c r="B47" s="18" t="str">
        <f t="shared" si="0"/>
        <v/>
      </c>
      <c r="C47" s="16" t="str">
        <f t="shared" ca="1" si="4"/>
        <v/>
      </c>
    </row>
    <row r="48" spans="1:3">
      <c r="A48" s="15">
        <f t="shared" si="2"/>
        <v>1.2083333333333333</v>
      </c>
      <c r="B48" s="18" t="str">
        <f t="shared" si="0"/>
        <v/>
      </c>
      <c r="C48" s="16" t="str">
        <f t="shared" ca="1" si="4"/>
        <v/>
      </c>
    </row>
    <row r="49" spans="1:3">
      <c r="A49" s="15">
        <f t="shared" si="2"/>
        <v>1.2291666666666665</v>
      </c>
      <c r="B49" s="18" t="str">
        <f t="shared" si="0"/>
        <v/>
      </c>
      <c r="C49" s="16" t="str">
        <f t="shared" ca="1" si="4"/>
        <v/>
      </c>
    </row>
    <row r="50" spans="1:3">
      <c r="A50" s="15">
        <f t="shared" si="2"/>
        <v>1.2499999999999998</v>
      </c>
      <c r="B50" s="18" t="str">
        <f t="shared" si="0"/>
        <v/>
      </c>
      <c r="C50" s="16" t="str">
        <f t="shared" ca="1" si="4"/>
        <v/>
      </c>
    </row>
    <row r="51" spans="1:3">
      <c r="A51" s="15">
        <f t="shared" si="2"/>
        <v>1.270833333333333</v>
      </c>
      <c r="B51" s="18" t="str">
        <f t="shared" si="0"/>
        <v/>
      </c>
      <c r="C51" s="16" t="str">
        <f t="shared" ca="1" si="4"/>
        <v/>
      </c>
    </row>
    <row r="52" spans="1:3">
      <c r="A52" s="15"/>
      <c r="B52" s="18"/>
      <c r="C52"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A9C82-2EB4-1541-9049-72DA95CE472A}">
  <sheetPr>
    <tabColor rgb="FF5FC594"/>
  </sheetPr>
  <dimension ref="A1:K17"/>
  <sheetViews>
    <sheetView workbookViewId="0">
      <selection activeCell="C1" sqref="C1:F1"/>
    </sheetView>
  </sheetViews>
  <sheetFormatPr defaultColWidth="10.875" defaultRowHeight="15.95"/>
  <cols>
    <col min="1" max="1" width="27.625" style="8" customWidth="1"/>
    <col min="2" max="2" width="13.125" style="8" customWidth="1"/>
    <col min="3" max="3" width="14.375" style="8" bestFit="1" customWidth="1"/>
    <col min="4" max="4" width="11.875" style="8" bestFit="1" customWidth="1"/>
    <col min="5" max="5" width="15" style="8" bestFit="1" customWidth="1"/>
    <col min="6" max="6" width="10.5" style="8" bestFit="1" customWidth="1"/>
    <col min="7" max="7" width="10.875" style="8"/>
    <col min="8" max="8" width="32" style="8" bestFit="1" customWidth="1"/>
    <col min="9" max="9" width="10.875" style="8"/>
    <col min="10" max="10" width="18" style="8" customWidth="1"/>
    <col min="11" max="16384" width="10.875" style="8"/>
  </cols>
  <sheetData>
    <row r="1" spans="1:11" ht="26.1" customHeight="1">
      <c r="A1" s="21" t="s">
        <v>28</v>
      </c>
      <c r="B1" s="7"/>
      <c r="C1" s="100" t="s">
        <v>29</v>
      </c>
      <c r="D1" s="101"/>
      <c r="E1" s="101"/>
      <c r="F1" s="102"/>
      <c r="H1" s="21" t="s">
        <v>30</v>
      </c>
      <c r="J1" s="100" t="s">
        <v>31</v>
      </c>
      <c r="K1" s="102"/>
    </row>
    <row r="2" spans="1:11" ht="17.100000000000001">
      <c r="A2" s="22" t="s">
        <v>32</v>
      </c>
      <c r="B2" s="9"/>
      <c r="C2" s="25" t="s">
        <v>27</v>
      </c>
      <c r="D2" s="7" t="s">
        <v>33</v>
      </c>
      <c r="E2" s="7" t="s">
        <v>34</v>
      </c>
      <c r="F2" s="26" t="s">
        <v>35</v>
      </c>
      <c r="H2" s="30" t="s">
        <v>36</v>
      </c>
      <c r="J2" s="27" t="s">
        <v>37</v>
      </c>
      <c r="K2" s="52">
        <v>0.29166666666666663</v>
      </c>
    </row>
    <row r="3" spans="1:11">
      <c r="A3" s="23" t="s">
        <v>38</v>
      </c>
      <c r="C3" s="27" t="s">
        <v>14</v>
      </c>
      <c r="D3" s="8" t="s">
        <v>38</v>
      </c>
      <c r="E3" s="8">
        <v>40</v>
      </c>
      <c r="F3" s="32">
        <v>10</v>
      </c>
      <c r="H3" s="31" t="s">
        <v>15</v>
      </c>
      <c r="J3" s="28" t="s">
        <v>39</v>
      </c>
      <c r="K3" s="53">
        <v>0.87500000000000044</v>
      </c>
    </row>
    <row r="4" spans="1:11">
      <c r="A4" s="23" t="s">
        <v>40</v>
      </c>
      <c r="C4" s="27" t="s">
        <v>19</v>
      </c>
      <c r="D4" s="8" t="s">
        <v>40</v>
      </c>
      <c r="E4" s="8">
        <v>30</v>
      </c>
      <c r="F4" s="32">
        <v>9</v>
      </c>
      <c r="H4" s="23" t="s">
        <v>16</v>
      </c>
    </row>
    <row r="5" spans="1:11">
      <c r="A5" s="23" t="s">
        <v>41</v>
      </c>
      <c r="C5" s="27" t="s">
        <v>23</v>
      </c>
      <c r="F5" s="32"/>
      <c r="H5" s="23" t="s">
        <v>20</v>
      </c>
    </row>
    <row r="6" spans="1:11">
      <c r="A6" s="23" t="s">
        <v>42</v>
      </c>
      <c r="C6" s="27" t="s">
        <v>23</v>
      </c>
      <c r="F6" s="32"/>
      <c r="H6" s="23" t="s">
        <v>21</v>
      </c>
    </row>
    <row r="7" spans="1:11">
      <c r="A7" s="23" t="s">
        <v>43</v>
      </c>
      <c r="C7" s="27" t="s">
        <v>23</v>
      </c>
      <c r="F7" s="32"/>
      <c r="H7" s="23" t="s">
        <v>44</v>
      </c>
    </row>
    <row r="8" spans="1:11">
      <c r="A8" s="23" t="s">
        <v>45</v>
      </c>
      <c r="C8" s="27" t="s">
        <v>23</v>
      </c>
      <c r="F8" s="32"/>
      <c r="H8" s="23" t="s">
        <v>46</v>
      </c>
    </row>
    <row r="9" spans="1:11">
      <c r="A9" s="23" t="s">
        <v>47</v>
      </c>
      <c r="C9" s="27" t="s">
        <v>23</v>
      </c>
      <c r="F9" s="32"/>
      <c r="H9" s="23" t="s">
        <v>48</v>
      </c>
    </row>
    <row r="10" spans="1:11">
      <c r="A10" s="23" t="s">
        <v>49</v>
      </c>
      <c r="C10" s="27" t="s">
        <v>23</v>
      </c>
      <c r="F10" s="32"/>
      <c r="H10" s="23" t="s">
        <v>50</v>
      </c>
    </row>
    <row r="11" spans="1:11">
      <c r="A11" s="23" t="s">
        <v>51</v>
      </c>
      <c r="C11" s="27" t="s">
        <v>23</v>
      </c>
      <c r="F11" s="32"/>
      <c r="H11" s="23" t="s">
        <v>52</v>
      </c>
    </row>
    <row r="12" spans="1:11">
      <c r="A12" s="24" t="s">
        <v>53</v>
      </c>
      <c r="C12" s="27" t="s">
        <v>23</v>
      </c>
      <c r="F12" s="32"/>
      <c r="H12" s="24" t="s">
        <v>54</v>
      </c>
    </row>
    <row r="13" spans="1:11">
      <c r="C13" s="27" t="s">
        <v>23</v>
      </c>
      <c r="F13" s="32"/>
    </row>
    <row r="14" spans="1:11">
      <c r="C14" s="27" t="s">
        <v>23</v>
      </c>
      <c r="F14" s="32"/>
    </row>
    <row r="15" spans="1:11">
      <c r="C15" s="27" t="s">
        <v>23</v>
      </c>
      <c r="F15" s="32"/>
    </row>
    <row r="16" spans="1:11">
      <c r="C16" s="27" t="s">
        <v>23</v>
      </c>
      <c r="F16" s="32"/>
    </row>
    <row r="17" spans="3:6">
      <c r="C17" s="28" t="s">
        <v>23</v>
      </c>
      <c r="D17" s="29"/>
      <c r="E17" s="29"/>
      <c r="F17" s="33"/>
    </row>
  </sheetData>
  <mergeCells count="2">
    <mergeCell ref="C1:F1"/>
    <mergeCell ref="J1:K1"/>
  </mergeCells>
  <dataValidations count="1">
    <dataValidation type="list" allowBlank="1" showInputMessage="1" showErrorMessage="1" sqref="D3:D22" xr:uid="{B465A1D9-990A-BA49-96ED-C9556EA73395}">
      <formula1>$A$3:$A$12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66E0673-ABB0-4F63-B309-67EB05C797EB}">
          <x14:formula1>
            <xm:f>Config!$A$3:$A$50</xm:f>
          </x14:formula1>
          <xm:sqref>K2:K3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3948-12CE-1744-9280-5D7CBD08C469}">
  <dimension ref="A1:K50"/>
  <sheetViews>
    <sheetView workbookViewId="0">
      <selection activeCell="F3" sqref="F3"/>
    </sheetView>
  </sheetViews>
  <sheetFormatPr defaultColWidth="11" defaultRowHeight="15.95"/>
  <cols>
    <col min="1" max="1" width="10.875" style="4"/>
    <col min="4" max="4" width="19.5" bestFit="1" customWidth="1"/>
  </cols>
  <sheetData>
    <row r="1" spans="1:11">
      <c r="A1" s="2" t="s">
        <v>55</v>
      </c>
      <c r="D1" s="1" t="s">
        <v>56</v>
      </c>
      <c r="F1" s="1" t="s">
        <v>57</v>
      </c>
      <c r="G1" s="1" t="s">
        <v>33</v>
      </c>
      <c r="H1" s="1" t="s">
        <v>34</v>
      </c>
      <c r="I1" s="1" t="s">
        <v>58</v>
      </c>
      <c r="K1" s="1" t="s">
        <v>59</v>
      </c>
    </row>
    <row r="2" spans="1:11">
      <c r="A2" s="3" t="s">
        <v>11</v>
      </c>
      <c r="D2" t="str">
        <f>Settings!H3</f>
        <v>Bar Manager</v>
      </c>
      <c r="F2" t="s">
        <v>23</v>
      </c>
      <c r="G2">
        <v>0</v>
      </c>
      <c r="H2">
        <v>0</v>
      </c>
      <c r="I2">
        <v>0</v>
      </c>
      <c r="K2" s="19">
        <f>Rota!R4</f>
        <v>43773</v>
      </c>
    </row>
    <row r="3" spans="1:11">
      <c r="A3" s="4">
        <v>0</v>
      </c>
      <c r="D3" t="str">
        <f>Settings!H4</f>
        <v>Bar Staff</v>
      </c>
      <c r="F3" t="str">
        <f>Settings!C3</f>
        <v>John Smith</v>
      </c>
      <c r="G3" t="str">
        <f>Settings!D3</f>
        <v>FOH</v>
      </c>
      <c r="H3">
        <f>Settings!E3</f>
        <v>40</v>
      </c>
      <c r="I3">
        <f>Settings!F3</f>
        <v>10</v>
      </c>
      <c r="K3" s="19">
        <f>K2+1</f>
        <v>43774</v>
      </c>
    </row>
    <row r="4" spans="1:11">
      <c r="A4" s="4">
        <f>A3+1/48</f>
        <v>2.0833333333333332E-2</v>
      </c>
      <c r="D4" t="str">
        <f>Settings!H5</f>
        <v>Kitchen Manager</v>
      </c>
      <c r="F4" t="str">
        <f>Settings!C4</f>
        <v>Joe Bloggs</v>
      </c>
      <c r="G4" t="str">
        <f>Settings!D4</f>
        <v>BOH</v>
      </c>
      <c r="H4">
        <f>Settings!E4</f>
        <v>30</v>
      </c>
      <c r="I4">
        <f>Settings!F4</f>
        <v>9</v>
      </c>
      <c r="K4" s="19">
        <f t="shared" ref="K4:K8" si="0">K3+1</f>
        <v>43775</v>
      </c>
    </row>
    <row r="5" spans="1:11">
      <c r="A5" s="4">
        <f t="shared" ref="A5:A50" si="1">A4+1/48</f>
        <v>4.1666666666666664E-2</v>
      </c>
      <c r="D5" t="str">
        <f>Settings!H6</f>
        <v>Kitchen Porter</v>
      </c>
      <c r="F5" t="str">
        <f>Settings!C5</f>
        <v>Select colleague</v>
      </c>
      <c r="G5">
        <f>Settings!D5</f>
        <v>0</v>
      </c>
      <c r="H5">
        <f>Settings!E5</f>
        <v>0</v>
      </c>
      <c r="I5">
        <f>Settings!F5</f>
        <v>0</v>
      </c>
      <c r="K5" s="19">
        <f t="shared" si="0"/>
        <v>43776</v>
      </c>
    </row>
    <row r="6" spans="1:11">
      <c r="A6" s="4">
        <f t="shared" si="1"/>
        <v>6.25E-2</v>
      </c>
      <c r="D6" t="str">
        <f>Settings!H7</f>
        <v>Shift type 5</v>
      </c>
      <c r="F6" t="str">
        <f>Settings!C6</f>
        <v>Select colleague</v>
      </c>
      <c r="G6">
        <f>Settings!D6</f>
        <v>0</v>
      </c>
      <c r="H6">
        <f>Settings!E6</f>
        <v>0</v>
      </c>
      <c r="I6">
        <f>Settings!F6</f>
        <v>0</v>
      </c>
      <c r="K6" s="19">
        <f t="shared" si="0"/>
        <v>43777</v>
      </c>
    </row>
    <row r="7" spans="1:11">
      <c r="A7" s="4">
        <f t="shared" si="1"/>
        <v>8.3333333333333329E-2</v>
      </c>
      <c r="D7" t="str">
        <f>Settings!H8</f>
        <v>Shift type 6</v>
      </c>
      <c r="F7" t="str">
        <f>Settings!C7</f>
        <v>Select colleague</v>
      </c>
      <c r="G7">
        <f>Settings!D7</f>
        <v>0</v>
      </c>
      <c r="H7">
        <f>Settings!E7</f>
        <v>0</v>
      </c>
      <c r="I7">
        <f>Settings!F7</f>
        <v>0</v>
      </c>
      <c r="K7" s="19">
        <f t="shared" si="0"/>
        <v>43778</v>
      </c>
    </row>
    <row r="8" spans="1:11">
      <c r="A8" s="4">
        <f t="shared" si="1"/>
        <v>0.10416666666666666</v>
      </c>
      <c r="D8" t="str">
        <f>Settings!H9</f>
        <v>Shift type 7</v>
      </c>
      <c r="F8" t="str">
        <f>Settings!C8</f>
        <v>Select colleague</v>
      </c>
      <c r="G8">
        <f>Settings!D8</f>
        <v>0</v>
      </c>
      <c r="H8">
        <f>Settings!E8</f>
        <v>0</v>
      </c>
      <c r="I8">
        <f>Settings!F8</f>
        <v>0</v>
      </c>
      <c r="K8" s="19">
        <f t="shared" si="0"/>
        <v>43779</v>
      </c>
    </row>
    <row r="9" spans="1:11">
      <c r="A9" s="4">
        <f t="shared" si="1"/>
        <v>0.12499999999999999</v>
      </c>
      <c r="D9" t="str">
        <f>Settings!H10</f>
        <v>Shift type 8</v>
      </c>
      <c r="F9" t="str">
        <f>Settings!C9</f>
        <v>Select colleague</v>
      </c>
      <c r="G9">
        <f>Settings!D9</f>
        <v>0</v>
      </c>
      <c r="H9">
        <f>Settings!E9</f>
        <v>0</v>
      </c>
      <c r="I9">
        <f>Settings!F9</f>
        <v>0</v>
      </c>
    </row>
    <row r="10" spans="1:11">
      <c r="A10" s="4">
        <f t="shared" si="1"/>
        <v>0.14583333333333331</v>
      </c>
      <c r="D10" t="str">
        <f>Settings!H11</f>
        <v>Shift type 9</v>
      </c>
      <c r="F10" t="str">
        <f>Settings!C10</f>
        <v>Select colleague</v>
      </c>
      <c r="G10">
        <f>Settings!D10</f>
        <v>0</v>
      </c>
      <c r="H10">
        <f>Settings!E10</f>
        <v>0</v>
      </c>
      <c r="I10">
        <f>Settings!F10</f>
        <v>0</v>
      </c>
    </row>
    <row r="11" spans="1:11">
      <c r="A11" s="4">
        <f t="shared" si="1"/>
        <v>0.16666666666666666</v>
      </c>
      <c r="D11" t="str">
        <f>Settings!H12</f>
        <v>Shift type 10</v>
      </c>
      <c r="F11" t="str">
        <f>Settings!C11</f>
        <v>Select colleague</v>
      </c>
      <c r="G11">
        <f>Settings!D11</f>
        <v>0</v>
      </c>
      <c r="H11">
        <f>Settings!E11</f>
        <v>0</v>
      </c>
      <c r="I11">
        <f>Settings!F11</f>
        <v>0</v>
      </c>
    </row>
    <row r="12" spans="1:11">
      <c r="A12" s="4">
        <f t="shared" si="1"/>
        <v>0.1875</v>
      </c>
      <c r="D12" t="s">
        <v>60</v>
      </c>
      <c r="F12" t="str">
        <f>Settings!C12</f>
        <v>Select colleague</v>
      </c>
      <c r="G12">
        <f>Settings!D12</f>
        <v>0</v>
      </c>
      <c r="H12">
        <f>Settings!E12</f>
        <v>0</v>
      </c>
      <c r="I12">
        <f>Settings!F12</f>
        <v>0</v>
      </c>
    </row>
    <row r="13" spans="1:11">
      <c r="A13" s="4">
        <f t="shared" si="1"/>
        <v>0.20833333333333334</v>
      </c>
      <c r="D13" t="s">
        <v>61</v>
      </c>
      <c r="F13" t="str">
        <f>Settings!C13</f>
        <v>Select colleague</v>
      </c>
      <c r="G13">
        <f>Settings!D13</f>
        <v>0</v>
      </c>
      <c r="H13">
        <f>Settings!E13</f>
        <v>0</v>
      </c>
      <c r="I13">
        <f>Settings!F13</f>
        <v>0</v>
      </c>
    </row>
    <row r="14" spans="1:11">
      <c r="A14" s="4">
        <f t="shared" si="1"/>
        <v>0.22916666666666669</v>
      </c>
      <c r="D14" t="s">
        <v>62</v>
      </c>
      <c r="F14" t="str">
        <f>Settings!C14</f>
        <v>Select colleague</v>
      </c>
      <c r="G14">
        <f>Settings!D14</f>
        <v>0</v>
      </c>
      <c r="H14">
        <f>Settings!E14</f>
        <v>0</v>
      </c>
      <c r="I14">
        <f>Settings!F14</f>
        <v>0</v>
      </c>
    </row>
    <row r="15" spans="1:11">
      <c r="A15" s="4">
        <f t="shared" si="1"/>
        <v>0.25</v>
      </c>
      <c r="D15" t="s">
        <v>63</v>
      </c>
      <c r="F15" t="str">
        <f>Settings!C15</f>
        <v>Select colleague</v>
      </c>
      <c r="G15">
        <f>Settings!D15</f>
        <v>0</v>
      </c>
      <c r="H15">
        <f>Settings!E15</f>
        <v>0</v>
      </c>
      <c r="I15">
        <f>Settings!F15</f>
        <v>0</v>
      </c>
    </row>
    <row r="16" spans="1:11">
      <c r="A16" s="4">
        <f t="shared" si="1"/>
        <v>0.27083333333333331</v>
      </c>
      <c r="F16" t="str">
        <f>Settings!C16</f>
        <v>Select colleague</v>
      </c>
      <c r="G16">
        <f>Settings!D16</f>
        <v>0</v>
      </c>
      <c r="H16">
        <f>Settings!E16</f>
        <v>0</v>
      </c>
      <c r="I16">
        <f>Settings!F16</f>
        <v>0</v>
      </c>
    </row>
    <row r="17" spans="1:9">
      <c r="A17" s="4">
        <f t="shared" si="1"/>
        <v>0.29166666666666663</v>
      </c>
      <c r="F17" t="str">
        <f>Settings!C17</f>
        <v>Select colleague</v>
      </c>
      <c r="G17">
        <f>Settings!D17</f>
        <v>0</v>
      </c>
      <c r="H17">
        <f>Settings!E17</f>
        <v>0</v>
      </c>
      <c r="I17">
        <f>Settings!F17</f>
        <v>0</v>
      </c>
    </row>
    <row r="18" spans="1:9">
      <c r="A18" s="4">
        <f t="shared" si="1"/>
        <v>0.31249999999999994</v>
      </c>
    </row>
    <row r="19" spans="1:9">
      <c r="A19" s="4">
        <f t="shared" si="1"/>
        <v>0.33333333333333326</v>
      </c>
    </row>
    <row r="20" spans="1:9">
      <c r="A20" s="4">
        <f t="shared" si="1"/>
        <v>0.35416666666666657</v>
      </c>
    </row>
    <row r="21" spans="1:9">
      <c r="A21" s="4">
        <f t="shared" si="1"/>
        <v>0.37499999999999989</v>
      </c>
    </row>
    <row r="22" spans="1:9">
      <c r="A22" s="4">
        <f t="shared" si="1"/>
        <v>0.3958333333333332</v>
      </c>
    </row>
    <row r="23" spans="1:9">
      <c r="A23" s="4">
        <f t="shared" si="1"/>
        <v>0.41666666666666652</v>
      </c>
    </row>
    <row r="24" spans="1:9">
      <c r="A24" s="4">
        <f t="shared" si="1"/>
        <v>0.43749999999999983</v>
      </c>
    </row>
    <row r="25" spans="1:9">
      <c r="A25" s="4">
        <f t="shared" si="1"/>
        <v>0.45833333333333315</v>
      </c>
    </row>
    <row r="26" spans="1:9">
      <c r="A26" s="4">
        <f t="shared" si="1"/>
        <v>0.47916666666666646</v>
      </c>
    </row>
    <row r="27" spans="1:9">
      <c r="A27" s="4">
        <f t="shared" si="1"/>
        <v>0.49999999999999978</v>
      </c>
    </row>
    <row r="28" spans="1:9">
      <c r="A28" s="4">
        <f t="shared" si="1"/>
        <v>0.52083333333333315</v>
      </c>
    </row>
    <row r="29" spans="1:9">
      <c r="A29" s="4">
        <f t="shared" si="1"/>
        <v>0.54166666666666652</v>
      </c>
    </row>
    <row r="30" spans="1:9">
      <c r="A30" s="4">
        <f t="shared" si="1"/>
        <v>0.56249999999999989</v>
      </c>
    </row>
    <row r="31" spans="1:9">
      <c r="A31" s="4">
        <f t="shared" si="1"/>
        <v>0.58333333333333326</v>
      </c>
    </row>
    <row r="32" spans="1:9">
      <c r="A32" s="4">
        <f t="shared" si="1"/>
        <v>0.60416666666666663</v>
      </c>
    </row>
    <row r="33" spans="1:1">
      <c r="A33" s="4">
        <f t="shared" si="1"/>
        <v>0.625</v>
      </c>
    </row>
    <row r="34" spans="1:1">
      <c r="A34" s="4">
        <f t="shared" si="1"/>
        <v>0.64583333333333337</v>
      </c>
    </row>
    <row r="35" spans="1:1">
      <c r="A35" s="4">
        <f t="shared" si="1"/>
        <v>0.66666666666666674</v>
      </c>
    </row>
    <row r="36" spans="1:1">
      <c r="A36" s="4">
        <f t="shared" si="1"/>
        <v>0.68750000000000011</v>
      </c>
    </row>
    <row r="37" spans="1:1">
      <c r="A37" s="4">
        <f t="shared" si="1"/>
        <v>0.70833333333333348</v>
      </c>
    </row>
    <row r="38" spans="1:1">
      <c r="A38" s="4">
        <f t="shared" si="1"/>
        <v>0.72916666666666685</v>
      </c>
    </row>
    <row r="39" spans="1:1">
      <c r="A39" s="4">
        <f t="shared" si="1"/>
        <v>0.75000000000000022</v>
      </c>
    </row>
    <row r="40" spans="1:1">
      <c r="A40" s="4">
        <f t="shared" si="1"/>
        <v>0.77083333333333359</v>
      </c>
    </row>
    <row r="41" spans="1:1">
      <c r="A41" s="4">
        <f t="shared" si="1"/>
        <v>0.79166666666666696</v>
      </c>
    </row>
    <row r="42" spans="1:1">
      <c r="A42" s="4">
        <f t="shared" si="1"/>
        <v>0.81250000000000033</v>
      </c>
    </row>
    <row r="43" spans="1:1">
      <c r="A43" s="4">
        <f t="shared" si="1"/>
        <v>0.8333333333333337</v>
      </c>
    </row>
    <row r="44" spans="1:1">
      <c r="A44" s="4">
        <f t="shared" si="1"/>
        <v>0.85416666666666707</v>
      </c>
    </row>
    <row r="45" spans="1:1">
      <c r="A45" s="4">
        <f t="shared" si="1"/>
        <v>0.87500000000000044</v>
      </c>
    </row>
    <row r="46" spans="1:1">
      <c r="A46" s="4">
        <f t="shared" si="1"/>
        <v>0.89583333333333381</v>
      </c>
    </row>
    <row r="47" spans="1:1">
      <c r="A47" s="4">
        <f t="shared" si="1"/>
        <v>0.91666666666666718</v>
      </c>
    </row>
    <row r="48" spans="1:1">
      <c r="A48" s="4">
        <f t="shared" si="1"/>
        <v>0.93750000000000056</v>
      </c>
    </row>
    <row r="49" spans="1:1">
      <c r="A49" s="4">
        <f t="shared" si="1"/>
        <v>0.95833333333333393</v>
      </c>
    </row>
    <row r="50" spans="1:1">
      <c r="A50" s="4">
        <f t="shared" si="1"/>
        <v>0.9791666666666673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2019-10-16T09:02:20Z</dcterms:created>
  <dcterms:modified xsi:type="dcterms:W3CDTF">2026-01-28T15:33:48Z</dcterms:modified>
  <cp:category/>
  <cp:contentStatus/>
</cp:coreProperties>
</file>